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 полуг" sheetId="1" r:id="rId1"/>
  </sheets>
  <definedNames>
    <definedName name="_xlnm.Print_Titles" localSheetId="0">'1 полуг'!$A:$A</definedName>
  </definedNames>
  <calcPr fullCalcOnLoad="1"/>
</workbook>
</file>

<file path=xl/sharedStrings.xml><?xml version="1.0" encoding="utf-8"?>
<sst xmlns="http://schemas.openxmlformats.org/spreadsheetml/2006/main" count="119" uniqueCount="69">
  <si>
    <t>Наименование</t>
  </si>
  <si>
    <t>Отк.</t>
  </si>
  <si>
    <t>городов,</t>
  </si>
  <si>
    <t>факт</t>
  </si>
  <si>
    <t>план</t>
  </si>
  <si>
    <t>роста</t>
  </si>
  <si>
    <t xml:space="preserve">в т.ч. </t>
  </si>
  <si>
    <t>в т.ч.</t>
  </si>
  <si>
    <t>районов</t>
  </si>
  <si>
    <t>ПМСП</t>
  </si>
  <si>
    <t>Алексеевский</t>
  </si>
  <si>
    <t>Белгородский</t>
  </si>
  <si>
    <t>Борисовский</t>
  </si>
  <si>
    <t>Валуйский</t>
  </si>
  <si>
    <t>Вейделевский</t>
  </si>
  <si>
    <t>Волоконовский</t>
  </si>
  <si>
    <t>Грайворонский</t>
  </si>
  <si>
    <t>Ивнянский</t>
  </si>
  <si>
    <t>Корочанский</t>
  </si>
  <si>
    <t>Красненский</t>
  </si>
  <si>
    <t>Кр.Гвардейский</t>
  </si>
  <si>
    <t>Кр. Яружский</t>
  </si>
  <si>
    <t>Н.Оскольский</t>
  </si>
  <si>
    <t>Прохоровский</t>
  </si>
  <si>
    <t>Ракитянский</t>
  </si>
  <si>
    <t>Ровеньской</t>
  </si>
  <si>
    <t>Чернянский</t>
  </si>
  <si>
    <t>Шебекинский</t>
  </si>
  <si>
    <t>Яковлевский</t>
  </si>
  <si>
    <t>г.Белгород</t>
  </si>
  <si>
    <t>г.Губкин и район</t>
  </si>
  <si>
    <t>г.Ст.Оскол и район</t>
  </si>
  <si>
    <t>Итого муниципал.</t>
  </si>
  <si>
    <t>Всего</t>
  </si>
  <si>
    <t>насел.</t>
  </si>
  <si>
    <t>уз.без ст.</t>
  </si>
  <si>
    <t>стомат.</t>
  </si>
  <si>
    <t>01.01.09г.</t>
  </si>
  <si>
    <t>Кроме того</t>
  </si>
  <si>
    <t>ОКБ Св.Иоасафа</t>
  </si>
  <si>
    <t>ОДБ</t>
  </si>
  <si>
    <t>ОГУЗ Н-Т БВЛ</t>
  </si>
  <si>
    <t>ОГУЗ ООД</t>
  </si>
  <si>
    <t>Пр.отд.</t>
  </si>
  <si>
    <t>на</t>
  </si>
  <si>
    <t>Обл. ЛПУ в. т.ч.</t>
  </si>
  <si>
    <t>Ц. здор.</t>
  </si>
  <si>
    <t>объёмы МП (к/дни)</t>
  </si>
  <si>
    <t>%</t>
  </si>
  <si>
    <t>выполн.</t>
  </si>
  <si>
    <t>факта</t>
  </si>
  <si>
    <t>от плана</t>
  </si>
  <si>
    <t>ф. 09г.</t>
  </si>
  <si>
    <t>ф.10 /</t>
  </si>
  <si>
    <t>Норматив год</t>
  </si>
  <si>
    <t>длит. лечения</t>
  </si>
  <si>
    <t>уровень госпитал.</t>
  </si>
  <si>
    <t>Стационарозамещающие (п/дни)</t>
  </si>
  <si>
    <t>Стационарная помощь</t>
  </si>
  <si>
    <t>1полуг.2010</t>
  </si>
  <si>
    <t>1 полуг.</t>
  </si>
  <si>
    <t>1 полугод 2010 г</t>
  </si>
  <si>
    <t xml:space="preserve">% </t>
  </si>
  <si>
    <t>вып.</t>
  </si>
  <si>
    <t>темп</t>
  </si>
  <si>
    <t>10/09(%)</t>
  </si>
  <si>
    <t>Амбулаторно-поликлин. помощь</t>
  </si>
  <si>
    <t>ОГУЗ Красиво</t>
  </si>
  <si>
    <t>Выполнение ТПОМС за I полугодие 2010 года в расчёте на 1000 жителей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</si>
</sst>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" fontId="1" fillId="0" borderId="6" xfId="0" applyNumberFormat="1" applyFont="1" applyFill="1" applyBorder="1" applyAlignment="1">
      <alignment/>
    </xf>
    <xf numFmtId="1" fontId="1" fillId="0" borderId="8" xfId="0" applyNumberFormat="1" applyFont="1" applyFill="1" applyBorder="1" applyAlignment="1">
      <alignment/>
    </xf>
    <xf numFmtId="1" fontId="1" fillId="0" borderId="7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9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" fontId="2" fillId="0" borderId="29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1" fontId="1" fillId="0" borderId="27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1" fillId="0" borderId="35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1" fontId="1" fillId="0" borderId="36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/>
    </xf>
    <xf numFmtId="1" fontId="1" fillId="0" borderId="38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36" xfId="0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4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/>
    </xf>
    <xf numFmtId="1" fontId="1" fillId="0" borderId="29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/>
    </xf>
    <xf numFmtId="1" fontId="2" fillId="0" borderId="40" xfId="0" applyNumberFormat="1" applyFont="1" applyFill="1" applyBorder="1" applyAlignment="1">
      <alignment/>
    </xf>
    <xf numFmtId="0" fontId="1" fillId="0" borderId="46" xfId="0" applyFont="1" applyFill="1" applyBorder="1" applyAlignment="1">
      <alignment/>
    </xf>
    <xf numFmtId="1" fontId="2" fillId="0" borderId="35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1" fontId="1" fillId="0" borderId="49" xfId="0" applyNumberFormat="1" applyFont="1" applyFill="1" applyBorder="1" applyAlignment="1">
      <alignment/>
    </xf>
    <xf numFmtId="1" fontId="1" fillId="0" borderId="31" xfId="0" applyNumberFormat="1" applyFont="1" applyFill="1" applyBorder="1" applyAlignment="1">
      <alignment/>
    </xf>
    <xf numFmtId="1" fontId="2" fillId="0" borderId="43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1" fillId="0" borderId="42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" fontId="1" fillId="2" borderId="6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18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4" fillId="2" borderId="46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9" xfId="0" applyFont="1" applyFill="1" applyBorder="1" applyAlignment="1">
      <alignment/>
    </xf>
    <xf numFmtId="1" fontId="1" fillId="2" borderId="22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1" fontId="2" fillId="2" borderId="26" xfId="0" applyNumberFormat="1" applyFont="1" applyFill="1" applyBorder="1" applyAlignment="1">
      <alignment/>
    </xf>
    <xf numFmtId="0" fontId="1" fillId="2" borderId="43" xfId="0" applyFont="1" applyFill="1" applyBorder="1" applyAlignment="1">
      <alignment/>
    </xf>
    <xf numFmtId="164" fontId="1" fillId="2" borderId="22" xfId="0" applyNumberFormat="1" applyFont="1" applyFill="1" applyBorder="1" applyAlignment="1">
      <alignment/>
    </xf>
    <xf numFmtId="164" fontId="1" fillId="2" borderId="29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23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1" fillId="0" borderId="49" xfId="0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6" fontId="4" fillId="0" borderId="12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2" fontId="1" fillId="2" borderId="23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0" fillId="2" borderId="10" xfId="0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7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14.25390625" style="1" customWidth="1"/>
    <col min="2" max="2" width="7.75390625" style="1" customWidth="1"/>
    <col min="3" max="3" width="6.75390625" style="160" customWidth="1"/>
    <col min="4" max="4" width="4.875" style="160" customWidth="1"/>
    <col min="5" max="5" width="5.625" style="160" customWidth="1"/>
    <col min="6" max="6" width="6.75390625" style="1" customWidth="1"/>
    <col min="7" max="7" width="7.875" style="1" customWidth="1"/>
    <col min="8" max="10" width="5.75390625" style="1" customWidth="1"/>
    <col min="11" max="11" width="5.375" style="1" customWidth="1"/>
    <col min="12" max="12" width="5.75390625" style="1" customWidth="1"/>
    <col min="13" max="13" width="4.875" style="1" customWidth="1"/>
    <col min="14" max="14" width="7.00390625" style="1" customWidth="1"/>
    <col min="15" max="15" width="5.75390625" style="1" customWidth="1"/>
    <col min="16" max="16" width="6.375" style="1" customWidth="1"/>
    <col min="17" max="17" width="6.75390625" style="1" customWidth="1"/>
    <col min="18" max="18" width="5.75390625" style="1" customWidth="1"/>
    <col min="19" max="19" width="6.00390625" style="1" customWidth="1"/>
    <col min="20" max="20" width="6.375" style="1" customWidth="1"/>
    <col min="21" max="21" width="8.00390625" style="1" customWidth="1"/>
    <col min="22" max="22" width="5.25390625" style="1" customWidth="1"/>
    <col min="23" max="23" width="6.125" style="1" customWidth="1"/>
    <col min="24" max="25" width="6.375" style="1" customWidth="1"/>
    <col min="26" max="26" width="6.625" style="1" customWidth="1"/>
    <col min="27" max="27" width="7.25390625" style="1" customWidth="1"/>
    <col min="28" max="28" width="6.25390625" style="1" customWidth="1"/>
    <col min="29" max="29" width="5.75390625" style="1" customWidth="1"/>
    <col min="30" max="30" width="6.625" style="1" customWidth="1"/>
    <col min="31" max="31" width="7.25390625" style="1" customWidth="1"/>
    <col min="32" max="32" width="5.75390625" style="1" customWidth="1"/>
    <col min="33" max="33" width="6.875" style="1" customWidth="1"/>
    <col min="34" max="34" width="5.625" style="1" customWidth="1"/>
    <col min="35" max="35" width="6.125" style="1" customWidth="1"/>
    <col min="36" max="36" width="6.75390625" style="1" customWidth="1"/>
    <col min="37" max="38" width="7.625" style="1" customWidth="1"/>
    <col min="39" max="39" width="7.00390625" style="1" customWidth="1"/>
    <col min="40" max="40" width="5.875" style="1" customWidth="1"/>
    <col min="41" max="41" width="5.625" style="1" customWidth="1"/>
    <col min="42" max="42" width="5.875" style="1" customWidth="1"/>
    <col min="43" max="44" width="6.25390625" style="1" customWidth="1"/>
    <col min="45" max="45" width="6.125" style="1" customWidth="1"/>
    <col min="46" max="46" width="7.125" style="1" customWidth="1"/>
    <col min="47" max="53" width="9.125" style="1" customWidth="1"/>
    <col min="54" max="61" width="9.125" style="3" customWidth="1"/>
  </cols>
  <sheetData>
    <row r="1" spans="2:19" ht="31.5" customHeight="1" thickBot="1">
      <c r="B1" s="2"/>
      <c r="C1" s="136"/>
      <c r="D1" s="137"/>
      <c r="E1" s="137" t="s">
        <v>68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2"/>
      <c r="Q1" s="2"/>
      <c r="R1" s="2"/>
      <c r="S1" s="2"/>
    </row>
    <row r="2" spans="1:46" ht="13.5" thickBot="1">
      <c r="A2" s="194"/>
      <c r="B2" s="55"/>
      <c r="C2" s="138"/>
      <c r="D2" s="139"/>
      <c r="E2" s="140" t="s">
        <v>58</v>
      </c>
      <c r="F2" s="19"/>
      <c r="G2" s="19"/>
      <c r="H2" s="19"/>
      <c r="I2" s="19"/>
      <c r="J2" s="49"/>
      <c r="K2" s="49"/>
      <c r="L2" s="49"/>
      <c r="M2" s="49"/>
      <c r="N2" s="49"/>
      <c r="O2" s="49"/>
      <c r="P2" s="44" t="s">
        <v>66</v>
      </c>
      <c r="Q2" s="19"/>
      <c r="R2" s="19"/>
      <c r="S2" s="1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51"/>
      <c r="AM2" s="55"/>
      <c r="AN2" s="123"/>
      <c r="AO2" s="55"/>
      <c r="AP2" s="176" t="s">
        <v>57</v>
      </c>
      <c r="AQ2" s="55"/>
      <c r="AR2" s="55"/>
      <c r="AS2" s="55"/>
      <c r="AT2" s="106"/>
    </row>
    <row r="3" spans="1:46" ht="13.5" thickBot="1">
      <c r="A3" s="195"/>
      <c r="B3" s="129"/>
      <c r="C3" s="138" t="s">
        <v>47</v>
      </c>
      <c r="D3" s="141"/>
      <c r="E3" s="141"/>
      <c r="F3" s="55"/>
      <c r="G3" s="122" t="s">
        <v>64</v>
      </c>
      <c r="H3" s="48" t="s">
        <v>55</v>
      </c>
      <c r="I3" s="49"/>
      <c r="J3" s="51"/>
      <c r="K3" s="48" t="s">
        <v>56</v>
      </c>
      <c r="L3" s="19"/>
      <c r="M3" s="49"/>
      <c r="N3" s="49"/>
      <c r="O3" s="51"/>
      <c r="P3" s="62"/>
      <c r="Q3" s="54"/>
      <c r="R3" s="54"/>
      <c r="S3" s="54"/>
      <c r="T3" s="54" t="s">
        <v>61</v>
      </c>
      <c r="U3" s="54"/>
      <c r="V3" s="54"/>
      <c r="W3" s="54"/>
      <c r="X3" s="54"/>
      <c r="Y3" s="54"/>
      <c r="Z3" s="189"/>
      <c r="AA3" s="5"/>
      <c r="AB3" s="5"/>
      <c r="AC3" s="5"/>
      <c r="AD3" s="5"/>
      <c r="AE3" s="5"/>
      <c r="AF3" s="181" t="s">
        <v>62</v>
      </c>
      <c r="AG3" s="5"/>
      <c r="AH3" s="5"/>
      <c r="AI3" s="5"/>
      <c r="AJ3" s="5"/>
      <c r="AK3" s="5"/>
      <c r="AL3" s="122" t="s">
        <v>64</v>
      </c>
      <c r="AM3" s="55"/>
      <c r="AN3" s="55"/>
      <c r="AO3" s="55"/>
      <c r="AP3" s="177"/>
      <c r="AQ3" s="111"/>
      <c r="AR3" s="106"/>
      <c r="AS3" s="55"/>
      <c r="AT3" s="184" t="s">
        <v>64</v>
      </c>
    </row>
    <row r="4" spans="1:46" ht="13.5" thickBot="1">
      <c r="A4" s="196" t="s">
        <v>0</v>
      </c>
      <c r="B4" s="130" t="s">
        <v>34</v>
      </c>
      <c r="C4" s="142">
        <v>2009</v>
      </c>
      <c r="D4" s="200" t="s">
        <v>59</v>
      </c>
      <c r="E4" s="201"/>
      <c r="F4" s="107"/>
      <c r="G4" s="181" t="s">
        <v>5</v>
      </c>
      <c r="H4" s="142">
        <v>2009</v>
      </c>
      <c r="I4" s="200" t="s">
        <v>59</v>
      </c>
      <c r="J4" s="201"/>
      <c r="K4" s="142">
        <v>2009</v>
      </c>
      <c r="L4" s="202" t="s">
        <v>59</v>
      </c>
      <c r="M4" s="203"/>
      <c r="N4" s="31" t="s">
        <v>1</v>
      </c>
      <c r="O4" s="67" t="s">
        <v>1</v>
      </c>
      <c r="P4" s="142">
        <v>2009</v>
      </c>
      <c r="Q4" s="5"/>
      <c r="R4" s="5"/>
      <c r="S4" s="70"/>
      <c r="T4" s="120"/>
      <c r="U4" s="69"/>
      <c r="V4" s="6"/>
      <c r="W4" s="6"/>
      <c r="X4" s="6"/>
      <c r="Y4" s="65"/>
      <c r="Z4" s="120"/>
      <c r="AA4" s="69"/>
      <c r="AB4" s="6"/>
      <c r="AC4" s="6"/>
      <c r="AD4" s="6"/>
      <c r="AE4" s="6"/>
      <c r="AF4" s="181" t="s">
        <v>63</v>
      </c>
      <c r="AG4" s="6"/>
      <c r="AH4" s="6"/>
      <c r="AI4" s="6"/>
      <c r="AJ4" s="6"/>
      <c r="AK4" s="6"/>
      <c r="AL4" s="181" t="s">
        <v>5</v>
      </c>
      <c r="AM4" s="5"/>
      <c r="AN4" s="5"/>
      <c r="AO4" s="5"/>
      <c r="AP4" s="146">
        <v>2009</v>
      </c>
      <c r="AQ4" s="204" t="s">
        <v>59</v>
      </c>
      <c r="AR4" s="205"/>
      <c r="AS4" s="188" t="s">
        <v>48</v>
      </c>
      <c r="AT4" s="181" t="s">
        <v>5</v>
      </c>
    </row>
    <row r="5" spans="1:46" ht="12.75">
      <c r="A5" s="196" t="s">
        <v>2</v>
      </c>
      <c r="B5" s="130" t="s">
        <v>44</v>
      </c>
      <c r="C5" s="143" t="s">
        <v>60</v>
      </c>
      <c r="D5" s="144" t="s">
        <v>4</v>
      </c>
      <c r="E5" s="145" t="s">
        <v>3</v>
      </c>
      <c r="F5" s="108" t="s">
        <v>48</v>
      </c>
      <c r="G5" s="183" t="s">
        <v>65</v>
      </c>
      <c r="H5" s="143" t="s">
        <v>60</v>
      </c>
      <c r="I5" s="144" t="s">
        <v>4</v>
      </c>
      <c r="J5" s="145" t="s">
        <v>3</v>
      </c>
      <c r="K5" s="143" t="s">
        <v>60</v>
      </c>
      <c r="L5" s="144" t="s">
        <v>4</v>
      </c>
      <c r="M5" s="145" t="s">
        <v>3</v>
      </c>
      <c r="N5" s="31" t="s">
        <v>50</v>
      </c>
      <c r="O5" s="67" t="s">
        <v>53</v>
      </c>
      <c r="P5" s="143" t="s">
        <v>60</v>
      </c>
      <c r="Q5" s="29" t="s">
        <v>6</v>
      </c>
      <c r="R5" s="38"/>
      <c r="S5" s="90"/>
      <c r="T5" s="50" t="s">
        <v>4</v>
      </c>
      <c r="U5" s="93" t="s">
        <v>7</v>
      </c>
      <c r="V5" s="35"/>
      <c r="W5" s="34"/>
      <c r="X5" s="74" t="s">
        <v>38</v>
      </c>
      <c r="Y5" s="87"/>
      <c r="Z5" s="50" t="s">
        <v>3</v>
      </c>
      <c r="AA5" s="93" t="s">
        <v>7</v>
      </c>
      <c r="AB5" s="93"/>
      <c r="AC5" s="30"/>
      <c r="AD5" s="128" t="s">
        <v>38</v>
      </c>
      <c r="AE5" s="34"/>
      <c r="AF5" s="40"/>
      <c r="AG5" s="175" t="s">
        <v>7</v>
      </c>
      <c r="AH5" s="93"/>
      <c r="AI5" s="5"/>
      <c r="AJ5" s="128" t="s">
        <v>38</v>
      </c>
      <c r="AK5" s="32"/>
      <c r="AL5" s="183" t="s">
        <v>65</v>
      </c>
      <c r="AM5" s="38" t="s">
        <v>7</v>
      </c>
      <c r="AN5" s="38"/>
      <c r="AO5" s="38"/>
      <c r="AP5" s="186" t="s">
        <v>60</v>
      </c>
      <c r="AQ5" s="185" t="s">
        <v>4</v>
      </c>
      <c r="AR5" s="145" t="s">
        <v>3</v>
      </c>
      <c r="AS5" s="100" t="s">
        <v>49</v>
      </c>
      <c r="AT5" s="183" t="s">
        <v>65</v>
      </c>
    </row>
    <row r="6" spans="1:46" ht="13.5" thickBot="1">
      <c r="A6" s="196" t="s">
        <v>8</v>
      </c>
      <c r="B6" s="131" t="s">
        <v>37</v>
      </c>
      <c r="C6" s="143" t="s">
        <v>3</v>
      </c>
      <c r="D6" s="144"/>
      <c r="E6" s="146"/>
      <c r="F6" s="32" t="s">
        <v>49</v>
      </c>
      <c r="G6" s="182"/>
      <c r="H6" s="143" t="s">
        <v>3</v>
      </c>
      <c r="I6" s="144"/>
      <c r="J6" s="146"/>
      <c r="K6" s="143" t="s">
        <v>3</v>
      </c>
      <c r="L6" s="144"/>
      <c r="M6" s="146"/>
      <c r="N6" s="33" t="s">
        <v>51</v>
      </c>
      <c r="O6" s="67" t="s">
        <v>52</v>
      </c>
      <c r="P6" s="143" t="s">
        <v>3</v>
      </c>
      <c r="Q6" s="31" t="s">
        <v>35</v>
      </c>
      <c r="R6" s="36" t="s">
        <v>9</v>
      </c>
      <c r="S6" s="87" t="s">
        <v>36</v>
      </c>
      <c r="T6" s="50"/>
      <c r="U6" s="31" t="s">
        <v>35</v>
      </c>
      <c r="V6" s="66" t="s">
        <v>9</v>
      </c>
      <c r="W6" s="34" t="s">
        <v>36</v>
      </c>
      <c r="X6" s="32" t="s">
        <v>43</v>
      </c>
      <c r="Y6" s="117" t="s">
        <v>46</v>
      </c>
      <c r="Z6" s="50"/>
      <c r="AA6" s="31" t="s">
        <v>35</v>
      </c>
      <c r="AB6" s="30" t="s">
        <v>9</v>
      </c>
      <c r="AC6" s="31" t="s">
        <v>36</v>
      </c>
      <c r="AD6" s="31" t="s">
        <v>43</v>
      </c>
      <c r="AE6" s="179" t="s">
        <v>46</v>
      </c>
      <c r="AF6" s="182"/>
      <c r="AG6" s="31" t="s">
        <v>35</v>
      </c>
      <c r="AH6" s="30" t="s">
        <v>9</v>
      </c>
      <c r="AI6" s="31" t="s">
        <v>36</v>
      </c>
      <c r="AJ6" s="32" t="s">
        <v>43</v>
      </c>
      <c r="AK6" s="179" t="s">
        <v>46</v>
      </c>
      <c r="AL6" s="182"/>
      <c r="AM6" s="36" t="s">
        <v>35</v>
      </c>
      <c r="AN6" s="34" t="s">
        <v>9</v>
      </c>
      <c r="AO6" s="32" t="s">
        <v>36</v>
      </c>
      <c r="AP6" s="187" t="s">
        <v>3</v>
      </c>
      <c r="AQ6" s="185"/>
      <c r="AR6" s="146"/>
      <c r="AS6" s="53"/>
      <c r="AT6" s="182"/>
    </row>
    <row r="7" spans="1:61" s="26" customFormat="1" ht="12.75">
      <c r="A7" s="124">
        <v>1</v>
      </c>
      <c r="B7" s="10">
        <v>2</v>
      </c>
      <c r="C7" s="147">
        <v>3</v>
      </c>
      <c r="D7" s="148">
        <v>4</v>
      </c>
      <c r="E7" s="149">
        <v>5</v>
      </c>
      <c r="F7" s="10">
        <v>6</v>
      </c>
      <c r="G7" s="7">
        <v>7</v>
      </c>
      <c r="H7" s="9">
        <v>8</v>
      </c>
      <c r="I7" s="7">
        <v>9</v>
      </c>
      <c r="J7" s="41">
        <v>10</v>
      </c>
      <c r="K7" s="9">
        <v>11</v>
      </c>
      <c r="L7" s="10">
        <v>12</v>
      </c>
      <c r="M7" s="41">
        <v>13</v>
      </c>
      <c r="N7" s="61">
        <v>14</v>
      </c>
      <c r="O7" s="63">
        <v>15</v>
      </c>
      <c r="P7" s="92">
        <v>16</v>
      </c>
      <c r="Q7" s="7">
        <v>17</v>
      </c>
      <c r="R7" s="9">
        <v>18</v>
      </c>
      <c r="S7" s="63">
        <v>19</v>
      </c>
      <c r="T7" s="92">
        <v>17</v>
      </c>
      <c r="U7" s="7">
        <v>21</v>
      </c>
      <c r="V7" s="9">
        <v>22</v>
      </c>
      <c r="W7" s="8">
        <v>23</v>
      </c>
      <c r="X7" s="29">
        <v>24</v>
      </c>
      <c r="Y7" s="63">
        <v>25</v>
      </c>
      <c r="Z7" s="124">
        <v>18</v>
      </c>
      <c r="AA7" s="7">
        <v>27</v>
      </c>
      <c r="AB7" s="7">
        <v>28</v>
      </c>
      <c r="AC7" s="7">
        <v>29</v>
      </c>
      <c r="AD7" s="7">
        <v>30</v>
      </c>
      <c r="AE7" s="61">
        <v>31</v>
      </c>
      <c r="AF7" s="180">
        <v>19</v>
      </c>
      <c r="AG7" s="7">
        <v>33</v>
      </c>
      <c r="AH7" s="7">
        <v>34</v>
      </c>
      <c r="AI7" s="7">
        <v>35</v>
      </c>
      <c r="AJ7" s="7">
        <v>36</v>
      </c>
      <c r="AK7" s="61">
        <v>20</v>
      </c>
      <c r="AL7" s="180">
        <v>21</v>
      </c>
      <c r="AM7" s="9">
        <v>39</v>
      </c>
      <c r="AN7" s="9">
        <v>40</v>
      </c>
      <c r="AO7" s="61">
        <v>41</v>
      </c>
      <c r="AP7" s="178">
        <v>22</v>
      </c>
      <c r="AQ7" s="41">
        <v>23</v>
      </c>
      <c r="AR7" s="41">
        <v>24</v>
      </c>
      <c r="AS7" s="41">
        <v>25</v>
      </c>
      <c r="AT7" s="197">
        <v>26</v>
      </c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46" ht="12.75">
      <c r="A8" s="198" t="s">
        <v>10</v>
      </c>
      <c r="B8" s="132">
        <v>64.7</v>
      </c>
      <c r="C8" s="150">
        <v>927</v>
      </c>
      <c r="D8" s="135">
        <v>924</v>
      </c>
      <c r="E8" s="151">
        <v>938</v>
      </c>
      <c r="F8" s="14">
        <f aca="true" t="shared" si="0" ref="F8:F37">E8/D8*100</f>
        <v>101.51515151515152</v>
      </c>
      <c r="G8" s="13">
        <f aca="true" t="shared" si="1" ref="G8:G31">E8/C8*100</f>
        <v>101.1866235167206</v>
      </c>
      <c r="H8" s="161">
        <v>9.9</v>
      </c>
      <c r="I8" s="16">
        <f aca="true" t="shared" si="2" ref="I8:I37">D8/L8</f>
        <v>10.5</v>
      </c>
      <c r="J8" s="42">
        <f aca="true" t="shared" si="3" ref="J8:J37">E8/M8</f>
        <v>9.852941176470589</v>
      </c>
      <c r="K8" s="15">
        <v>94</v>
      </c>
      <c r="L8" s="42">
        <v>88</v>
      </c>
      <c r="M8" s="42">
        <v>95.2</v>
      </c>
      <c r="N8" s="110">
        <f aca="true" t="shared" si="4" ref="N8:N37">M8-L8</f>
        <v>7.200000000000003</v>
      </c>
      <c r="O8" s="88">
        <f aca="true" t="shared" si="5" ref="O8:O31">M8-K8</f>
        <v>1.2000000000000028</v>
      </c>
      <c r="P8" s="53">
        <v>3318</v>
      </c>
      <c r="Q8" s="11">
        <v>1408</v>
      </c>
      <c r="R8" s="12">
        <v>1541</v>
      </c>
      <c r="S8" s="112">
        <v>369</v>
      </c>
      <c r="T8" s="101">
        <f>7030/12*6</f>
        <v>3515</v>
      </c>
      <c r="U8" s="13">
        <f aca="true" t="shared" si="6" ref="U8:U30">T8-V8-W8</f>
        <v>1408</v>
      </c>
      <c r="V8" s="15">
        <f>3111/12*6</f>
        <v>1555.5</v>
      </c>
      <c r="W8" s="46">
        <f>1103/12*6</f>
        <v>551.5</v>
      </c>
      <c r="X8" s="17">
        <f>67/12*6</f>
        <v>33.5</v>
      </c>
      <c r="Y8" s="88"/>
      <c r="Z8" s="125">
        <v>3413</v>
      </c>
      <c r="AA8" s="13">
        <f aca="true" t="shared" si="7" ref="AA8:AA30">Z8-AB8-AC8</f>
        <v>1407</v>
      </c>
      <c r="AB8" s="13">
        <v>1588</v>
      </c>
      <c r="AC8" s="13">
        <v>418</v>
      </c>
      <c r="AD8" s="13">
        <v>35</v>
      </c>
      <c r="AE8" s="46"/>
      <c r="AF8" s="125">
        <f aca="true" t="shared" si="8" ref="AF8:AF30">Z8/T8*100</f>
        <v>97.0981507823613</v>
      </c>
      <c r="AG8" s="125">
        <f aca="true" t="shared" si="9" ref="AG8:AG31">AA8/U8*100</f>
        <v>99.92897727272727</v>
      </c>
      <c r="AH8" s="125">
        <f aca="true" t="shared" si="10" ref="AH8:AH30">AB8/V8*100</f>
        <v>102.08936033429765</v>
      </c>
      <c r="AI8" s="125">
        <f aca="true" t="shared" si="11" ref="AI8:AI30">AC8/W8*100</f>
        <v>75.79329102447869</v>
      </c>
      <c r="AJ8" s="125">
        <f aca="true" t="shared" si="12" ref="AJ8:AJ30">AD8/X8*100</f>
        <v>104.4776119402985</v>
      </c>
      <c r="AK8" s="125"/>
      <c r="AL8" s="101">
        <f aca="true" t="shared" si="13" ref="AL8:AL30">Z8/P8*100</f>
        <v>102.86317058468957</v>
      </c>
      <c r="AM8" s="101">
        <f aca="true" t="shared" si="14" ref="AM8:AM30">AA8/Q8*100</f>
        <v>99.92897727272727</v>
      </c>
      <c r="AN8" s="101">
        <f aca="true" t="shared" si="15" ref="AN8:AN30">AB8/R8*100</f>
        <v>103.04996755353666</v>
      </c>
      <c r="AO8" s="101">
        <f aca="true" t="shared" si="16" ref="AO8:AO30">AC8/S8*100</f>
        <v>113.27913279132791</v>
      </c>
      <c r="AP8" s="53">
        <v>350</v>
      </c>
      <c r="AQ8" s="23">
        <v>337</v>
      </c>
      <c r="AR8" s="23">
        <v>365</v>
      </c>
      <c r="AS8" s="23">
        <f aca="true" t="shared" si="17" ref="AS8:AS31">AR8/AQ8*100</f>
        <v>108.30860534124629</v>
      </c>
      <c r="AT8" s="46">
        <f aca="true" t="shared" si="18" ref="AT8:AT31">AR8/AP8*100</f>
        <v>104.28571428571429</v>
      </c>
    </row>
    <row r="9" spans="1:46" ht="12.75">
      <c r="A9" s="198" t="s">
        <v>11</v>
      </c>
      <c r="B9" s="132">
        <v>102.2</v>
      </c>
      <c r="C9" s="150">
        <v>348</v>
      </c>
      <c r="D9" s="135">
        <v>346</v>
      </c>
      <c r="E9" s="151">
        <v>342</v>
      </c>
      <c r="F9" s="14">
        <f t="shared" si="0"/>
        <v>98.84393063583815</v>
      </c>
      <c r="G9" s="13">
        <f t="shared" si="1"/>
        <v>98.27586206896551</v>
      </c>
      <c r="H9" s="161">
        <v>9.9</v>
      </c>
      <c r="I9" s="16">
        <f t="shared" si="2"/>
        <v>10.484848484848484</v>
      </c>
      <c r="J9" s="42">
        <f t="shared" si="3"/>
        <v>10.301204819277107</v>
      </c>
      <c r="K9" s="15">
        <v>35</v>
      </c>
      <c r="L9" s="42">
        <v>33</v>
      </c>
      <c r="M9" s="42">
        <v>33.2</v>
      </c>
      <c r="N9" s="110">
        <f t="shared" si="4"/>
        <v>0.20000000000000284</v>
      </c>
      <c r="O9" s="88">
        <f t="shared" si="5"/>
        <v>-1.7999999999999972</v>
      </c>
      <c r="P9" s="53">
        <v>3597</v>
      </c>
      <c r="Q9" s="11">
        <v>1552</v>
      </c>
      <c r="R9" s="12">
        <v>1676</v>
      </c>
      <c r="S9" s="112">
        <v>369</v>
      </c>
      <c r="T9" s="101">
        <f>7632/12*6</f>
        <v>3816</v>
      </c>
      <c r="U9" s="13">
        <f t="shared" si="6"/>
        <v>1466.5</v>
      </c>
      <c r="V9" s="15">
        <f>3499/12*6</f>
        <v>1749.5</v>
      </c>
      <c r="W9" s="46">
        <f>1200/12*6</f>
        <v>600</v>
      </c>
      <c r="X9" s="17">
        <f>13/12*6</f>
        <v>6.5</v>
      </c>
      <c r="Y9" s="88"/>
      <c r="Z9" s="125">
        <v>3178</v>
      </c>
      <c r="AA9" s="13">
        <f t="shared" si="7"/>
        <v>1094</v>
      </c>
      <c r="AB9" s="13">
        <v>1709</v>
      </c>
      <c r="AC9" s="13">
        <v>375</v>
      </c>
      <c r="AD9" s="13">
        <v>2</v>
      </c>
      <c r="AE9" s="46"/>
      <c r="AF9" s="125">
        <f t="shared" si="8"/>
        <v>83.28092243186582</v>
      </c>
      <c r="AG9" s="125">
        <f t="shared" si="9"/>
        <v>74.59938629389703</v>
      </c>
      <c r="AH9" s="125">
        <f t="shared" si="10"/>
        <v>97.68505287224922</v>
      </c>
      <c r="AI9" s="125">
        <f t="shared" si="11"/>
        <v>62.5</v>
      </c>
      <c r="AJ9" s="125">
        <f t="shared" si="12"/>
        <v>30.76923076923077</v>
      </c>
      <c r="AK9" s="125"/>
      <c r="AL9" s="101">
        <f t="shared" si="13"/>
        <v>88.35140394773421</v>
      </c>
      <c r="AM9" s="101">
        <f t="shared" si="14"/>
        <v>70.4896907216495</v>
      </c>
      <c r="AN9" s="101">
        <f t="shared" si="15"/>
        <v>101.9689737470167</v>
      </c>
      <c r="AO9" s="101">
        <f t="shared" si="16"/>
        <v>101.62601626016261</v>
      </c>
      <c r="AP9" s="53">
        <v>209</v>
      </c>
      <c r="AQ9" s="23">
        <v>188</v>
      </c>
      <c r="AR9" s="23">
        <v>190</v>
      </c>
      <c r="AS9" s="23">
        <f t="shared" si="17"/>
        <v>101.06382978723406</v>
      </c>
      <c r="AT9" s="46">
        <f t="shared" si="18"/>
        <v>90.9090909090909</v>
      </c>
    </row>
    <row r="10" spans="1:46" ht="12.75">
      <c r="A10" s="198" t="s">
        <v>12</v>
      </c>
      <c r="B10" s="132">
        <v>26.1</v>
      </c>
      <c r="C10" s="150">
        <v>779</v>
      </c>
      <c r="D10" s="135">
        <v>770</v>
      </c>
      <c r="E10" s="151">
        <v>792</v>
      </c>
      <c r="F10" s="14">
        <f t="shared" si="0"/>
        <v>102.85714285714285</v>
      </c>
      <c r="G10" s="13">
        <f t="shared" si="1"/>
        <v>101.66880616174583</v>
      </c>
      <c r="H10" s="161">
        <v>10.5</v>
      </c>
      <c r="I10" s="16">
        <f t="shared" si="2"/>
        <v>10.694444444444445</v>
      </c>
      <c r="J10" s="42">
        <f t="shared" si="3"/>
        <v>10.688259109311742</v>
      </c>
      <c r="K10" s="15">
        <v>74</v>
      </c>
      <c r="L10" s="42">
        <v>72</v>
      </c>
      <c r="M10" s="42">
        <v>74.1</v>
      </c>
      <c r="N10" s="110">
        <f t="shared" si="4"/>
        <v>2.0999999999999943</v>
      </c>
      <c r="O10" s="88">
        <f t="shared" si="5"/>
        <v>0.09999999999999432</v>
      </c>
      <c r="P10" s="53">
        <v>2818</v>
      </c>
      <c r="Q10" s="11">
        <v>1176</v>
      </c>
      <c r="R10" s="12">
        <v>1297</v>
      </c>
      <c r="S10" s="112">
        <v>345</v>
      </c>
      <c r="T10" s="101">
        <f>7504/12*6</f>
        <v>3752</v>
      </c>
      <c r="U10" s="13">
        <f t="shared" si="6"/>
        <v>1581.5</v>
      </c>
      <c r="V10" s="15">
        <f>3238/12*6</f>
        <v>1619</v>
      </c>
      <c r="W10" s="46">
        <f>1103/12*6</f>
        <v>551.5</v>
      </c>
      <c r="X10" s="17">
        <f>28/12*6</f>
        <v>14</v>
      </c>
      <c r="Y10" s="88"/>
      <c r="Z10" s="125">
        <v>2583</v>
      </c>
      <c r="AA10" s="13">
        <f t="shared" si="7"/>
        <v>1063</v>
      </c>
      <c r="AB10" s="13">
        <v>1262</v>
      </c>
      <c r="AC10" s="13">
        <v>258</v>
      </c>
      <c r="AD10" s="13">
        <v>12.5</v>
      </c>
      <c r="AE10" s="46"/>
      <c r="AF10" s="125">
        <f t="shared" si="8"/>
        <v>68.84328358208955</v>
      </c>
      <c r="AG10" s="125">
        <f t="shared" si="9"/>
        <v>67.21466961745179</v>
      </c>
      <c r="AH10" s="125">
        <f t="shared" si="10"/>
        <v>77.94935145151328</v>
      </c>
      <c r="AI10" s="125">
        <f t="shared" si="11"/>
        <v>46.781504986400726</v>
      </c>
      <c r="AJ10" s="125">
        <f t="shared" si="12"/>
        <v>89.28571428571429</v>
      </c>
      <c r="AK10" s="125"/>
      <c r="AL10" s="101">
        <f t="shared" si="13"/>
        <v>91.66075230660043</v>
      </c>
      <c r="AM10" s="101">
        <f t="shared" si="14"/>
        <v>90.39115646258503</v>
      </c>
      <c r="AN10" s="101">
        <f t="shared" si="15"/>
        <v>97.30146491904395</v>
      </c>
      <c r="AO10" s="101">
        <f t="shared" si="16"/>
        <v>74.78260869565217</v>
      </c>
      <c r="AP10" s="53">
        <v>378</v>
      </c>
      <c r="AQ10" s="23">
        <v>378</v>
      </c>
      <c r="AR10" s="23">
        <v>357</v>
      </c>
      <c r="AS10" s="23">
        <f t="shared" si="17"/>
        <v>94.44444444444444</v>
      </c>
      <c r="AT10" s="46">
        <f t="shared" si="18"/>
        <v>94.44444444444444</v>
      </c>
    </row>
    <row r="11" spans="1:46" ht="12.75">
      <c r="A11" s="198" t="s">
        <v>13</v>
      </c>
      <c r="B11" s="132">
        <v>69.7</v>
      </c>
      <c r="C11" s="150">
        <v>908</v>
      </c>
      <c r="D11" s="135">
        <v>909</v>
      </c>
      <c r="E11" s="151">
        <v>931</v>
      </c>
      <c r="F11" s="14">
        <f t="shared" si="0"/>
        <v>102.42024202420241</v>
      </c>
      <c r="G11" s="13">
        <f t="shared" si="1"/>
        <v>102.5330396475771</v>
      </c>
      <c r="H11" s="161">
        <v>10.3</v>
      </c>
      <c r="I11" s="16">
        <f t="shared" si="2"/>
        <v>10.448275862068966</v>
      </c>
      <c r="J11" s="42">
        <f t="shared" si="3"/>
        <v>10.460674157303371</v>
      </c>
      <c r="K11" s="15">
        <v>88</v>
      </c>
      <c r="L11" s="42">
        <v>87</v>
      </c>
      <c r="M11" s="42">
        <v>89</v>
      </c>
      <c r="N11" s="110">
        <f t="shared" si="4"/>
        <v>2</v>
      </c>
      <c r="O11" s="88">
        <f t="shared" si="5"/>
        <v>1</v>
      </c>
      <c r="P11" s="53">
        <v>3780</v>
      </c>
      <c r="Q11" s="11">
        <v>1998</v>
      </c>
      <c r="R11" s="12">
        <v>1558</v>
      </c>
      <c r="S11" s="112">
        <v>224</v>
      </c>
      <c r="T11" s="101">
        <f>8211/12*6</f>
        <v>4105.5</v>
      </c>
      <c r="U11" s="13">
        <f t="shared" si="6"/>
        <v>2272.5</v>
      </c>
      <c r="V11" s="15">
        <f>3030/12*6</f>
        <v>1515</v>
      </c>
      <c r="W11" s="46">
        <f>636/12*6</f>
        <v>318</v>
      </c>
      <c r="X11" s="17">
        <f>91/12*6</f>
        <v>45.5</v>
      </c>
      <c r="Y11" s="88"/>
      <c r="Z11" s="125">
        <v>3885</v>
      </c>
      <c r="AA11" s="13">
        <f t="shared" si="7"/>
        <v>2046</v>
      </c>
      <c r="AB11" s="13">
        <v>1576</v>
      </c>
      <c r="AC11" s="13">
        <v>263</v>
      </c>
      <c r="AD11" s="13">
        <v>19</v>
      </c>
      <c r="AE11" s="46"/>
      <c r="AF11" s="125">
        <f t="shared" si="8"/>
        <v>94.62915601023018</v>
      </c>
      <c r="AG11" s="125">
        <f t="shared" si="9"/>
        <v>90.03300330033002</v>
      </c>
      <c r="AH11" s="125">
        <f t="shared" si="10"/>
        <v>104.02640264026404</v>
      </c>
      <c r="AI11" s="125">
        <f t="shared" si="11"/>
        <v>82.70440251572327</v>
      </c>
      <c r="AJ11" s="125">
        <f t="shared" si="12"/>
        <v>41.75824175824176</v>
      </c>
      <c r="AK11" s="125"/>
      <c r="AL11" s="101">
        <f t="shared" si="13"/>
        <v>102.77777777777777</v>
      </c>
      <c r="AM11" s="101">
        <f t="shared" si="14"/>
        <v>102.40240240240239</v>
      </c>
      <c r="AN11" s="101">
        <f t="shared" si="15"/>
        <v>101.1553273427471</v>
      </c>
      <c r="AO11" s="101">
        <f t="shared" si="16"/>
        <v>117.41071428571428</v>
      </c>
      <c r="AP11" s="53">
        <v>373</v>
      </c>
      <c r="AQ11" s="23">
        <v>376</v>
      </c>
      <c r="AR11" s="23">
        <v>388</v>
      </c>
      <c r="AS11" s="23">
        <f t="shared" si="17"/>
        <v>103.19148936170212</v>
      </c>
      <c r="AT11" s="46">
        <f t="shared" si="18"/>
        <v>104.02144772117963</v>
      </c>
    </row>
    <row r="12" spans="1:46" ht="12.75">
      <c r="A12" s="198" t="s">
        <v>14</v>
      </c>
      <c r="B12" s="132">
        <v>22.5</v>
      </c>
      <c r="C12" s="150">
        <v>767</v>
      </c>
      <c r="D12" s="135">
        <v>774</v>
      </c>
      <c r="E12" s="151">
        <v>774</v>
      </c>
      <c r="F12" s="14">
        <f t="shared" si="0"/>
        <v>100</v>
      </c>
      <c r="G12" s="13">
        <f t="shared" si="1"/>
        <v>100.91264667535853</v>
      </c>
      <c r="H12" s="161">
        <v>11.4</v>
      </c>
      <c r="I12" s="16">
        <f t="shared" si="2"/>
        <v>10.45945945945946</v>
      </c>
      <c r="J12" s="42">
        <f t="shared" si="3"/>
        <v>11.535022354694487</v>
      </c>
      <c r="K12" s="15">
        <v>67</v>
      </c>
      <c r="L12" s="42">
        <v>74</v>
      </c>
      <c r="M12" s="42">
        <v>67.1</v>
      </c>
      <c r="N12" s="110">
        <f t="shared" si="4"/>
        <v>-6.900000000000006</v>
      </c>
      <c r="O12" s="88">
        <f t="shared" si="5"/>
        <v>0.09999999999999432</v>
      </c>
      <c r="P12" s="53">
        <v>3360</v>
      </c>
      <c r="Q12" s="11">
        <v>1372</v>
      </c>
      <c r="R12" s="12">
        <v>1690</v>
      </c>
      <c r="S12" s="112">
        <v>298</v>
      </c>
      <c r="T12" s="101">
        <f>7826/12*6</f>
        <v>3913</v>
      </c>
      <c r="U12" s="13">
        <f t="shared" si="6"/>
        <v>1756</v>
      </c>
      <c r="V12" s="15">
        <f>3172/12*6</f>
        <v>1586</v>
      </c>
      <c r="W12" s="46">
        <f>1142/12*6</f>
        <v>571</v>
      </c>
      <c r="X12" s="17">
        <f>53/12*6</f>
        <v>26.5</v>
      </c>
      <c r="Y12" s="88"/>
      <c r="Z12" s="125">
        <v>3457</v>
      </c>
      <c r="AA12" s="13">
        <f t="shared" si="7"/>
        <v>1474</v>
      </c>
      <c r="AB12" s="13">
        <v>1702</v>
      </c>
      <c r="AC12" s="13">
        <v>281</v>
      </c>
      <c r="AD12" s="13">
        <v>3</v>
      </c>
      <c r="AE12" s="46"/>
      <c r="AF12" s="125">
        <f t="shared" si="8"/>
        <v>88.34653718374649</v>
      </c>
      <c r="AG12" s="125">
        <f t="shared" si="9"/>
        <v>83.94077448747153</v>
      </c>
      <c r="AH12" s="125">
        <f t="shared" si="10"/>
        <v>107.3139974779319</v>
      </c>
      <c r="AI12" s="125">
        <f t="shared" si="11"/>
        <v>49.21190893169877</v>
      </c>
      <c r="AJ12" s="125">
        <f t="shared" si="12"/>
        <v>11.320754716981133</v>
      </c>
      <c r="AK12" s="125"/>
      <c r="AL12" s="101">
        <f t="shared" si="13"/>
        <v>102.88690476190476</v>
      </c>
      <c r="AM12" s="101">
        <f t="shared" si="14"/>
        <v>107.43440233236153</v>
      </c>
      <c r="AN12" s="101">
        <f t="shared" si="15"/>
        <v>100.71005917159763</v>
      </c>
      <c r="AO12" s="101">
        <f t="shared" si="16"/>
        <v>94.29530201342283</v>
      </c>
      <c r="AP12" s="53">
        <v>454</v>
      </c>
      <c r="AQ12" s="23">
        <v>453</v>
      </c>
      <c r="AR12" s="23">
        <v>444</v>
      </c>
      <c r="AS12" s="23">
        <f t="shared" si="17"/>
        <v>98.01324503311258</v>
      </c>
      <c r="AT12" s="46">
        <f t="shared" si="18"/>
        <v>97.79735682819384</v>
      </c>
    </row>
    <row r="13" spans="1:46" ht="12.75">
      <c r="A13" s="198" t="s">
        <v>15</v>
      </c>
      <c r="B13" s="132">
        <v>33.3</v>
      </c>
      <c r="C13" s="150">
        <v>752</v>
      </c>
      <c r="D13" s="135">
        <v>745</v>
      </c>
      <c r="E13" s="151">
        <v>776</v>
      </c>
      <c r="F13" s="14">
        <f t="shared" si="0"/>
        <v>104.16107382550335</v>
      </c>
      <c r="G13" s="13">
        <f t="shared" si="1"/>
        <v>103.19148936170212</v>
      </c>
      <c r="H13" s="161">
        <v>11.6</v>
      </c>
      <c r="I13" s="16">
        <f t="shared" si="2"/>
        <v>10.642857142857142</v>
      </c>
      <c r="J13" s="42">
        <f t="shared" si="3"/>
        <v>11.022727272727272</v>
      </c>
      <c r="K13" s="15">
        <v>65</v>
      </c>
      <c r="L13" s="42">
        <v>70</v>
      </c>
      <c r="M13" s="42">
        <v>70.4</v>
      </c>
      <c r="N13" s="110">
        <f t="shared" si="4"/>
        <v>0.4000000000000057</v>
      </c>
      <c r="O13" s="88">
        <f t="shared" si="5"/>
        <v>5.400000000000006</v>
      </c>
      <c r="P13" s="53">
        <v>3434</v>
      </c>
      <c r="Q13" s="11">
        <v>1420</v>
      </c>
      <c r="R13" s="12">
        <v>1648</v>
      </c>
      <c r="S13" s="112">
        <v>366</v>
      </c>
      <c r="T13" s="101">
        <f>7611/12*6</f>
        <v>3805.5</v>
      </c>
      <c r="U13" s="13">
        <f t="shared" si="6"/>
        <v>1581</v>
      </c>
      <c r="V13" s="15">
        <f>3414/12*6</f>
        <v>1707</v>
      </c>
      <c r="W13" s="46">
        <f>1035/12*6</f>
        <v>517.5</v>
      </c>
      <c r="X13" s="17">
        <f>31/12*6</f>
        <v>15.5</v>
      </c>
      <c r="Y13" s="88"/>
      <c r="Z13" s="125">
        <v>3317</v>
      </c>
      <c r="AA13" s="13">
        <f t="shared" si="7"/>
        <v>1146</v>
      </c>
      <c r="AB13" s="13">
        <v>1768</v>
      </c>
      <c r="AC13" s="13">
        <v>403</v>
      </c>
      <c r="AD13" s="13">
        <v>22</v>
      </c>
      <c r="AE13" s="46"/>
      <c r="AF13" s="125">
        <f t="shared" si="8"/>
        <v>87.16331625279201</v>
      </c>
      <c r="AG13" s="125">
        <f t="shared" si="9"/>
        <v>72.48576850094877</v>
      </c>
      <c r="AH13" s="125">
        <f t="shared" si="10"/>
        <v>103.5735207967194</v>
      </c>
      <c r="AI13" s="125">
        <f t="shared" si="11"/>
        <v>77.8743961352657</v>
      </c>
      <c r="AJ13" s="125">
        <f t="shared" si="12"/>
        <v>141.93548387096774</v>
      </c>
      <c r="AK13" s="125"/>
      <c r="AL13" s="101">
        <f t="shared" si="13"/>
        <v>96.59289458357601</v>
      </c>
      <c r="AM13" s="101">
        <f t="shared" si="14"/>
        <v>80.70422535211267</v>
      </c>
      <c r="AN13" s="101">
        <f t="shared" si="15"/>
        <v>107.28155339805825</v>
      </c>
      <c r="AO13" s="101">
        <f t="shared" si="16"/>
        <v>110.10928961748634</v>
      </c>
      <c r="AP13" s="53">
        <v>424</v>
      </c>
      <c r="AQ13" s="23">
        <v>424</v>
      </c>
      <c r="AR13" s="23">
        <v>472</v>
      </c>
      <c r="AS13" s="23">
        <f t="shared" si="17"/>
        <v>111.32075471698113</v>
      </c>
      <c r="AT13" s="46">
        <f t="shared" si="18"/>
        <v>111.32075471698113</v>
      </c>
    </row>
    <row r="14" spans="1:46" ht="12.75">
      <c r="A14" s="198" t="s">
        <v>16</v>
      </c>
      <c r="B14" s="132">
        <v>29.7</v>
      </c>
      <c r="C14" s="150">
        <v>752</v>
      </c>
      <c r="D14" s="135">
        <v>798</v>
      </c>
      <c r="E14" s="151">
        <v>803</v>
      </c>
      <c r="F14" s="14">
        <f t="shared" si="0"/>
        <v>100.6265664160401</v>
      </c>
      <c r="G14" s="13">
        <f t="shared" si="1"/>
        <v>106.78191489361701</v>
      </c>
      <c r="H14" s="161">
        <v>10</v>
      </c>
      <c r="I14" s="16">
        <f t="shared" si="2"/>
        <v>10.44502617801047</v>
      </c>
      <c r="J14" s="42">
        <f t="shared" si="3"/>
        <v>10.281690140845072</v>
      </c>
      <c r="K14" s="15">
        <v>75</v>
      </c>
      <c r="L14" s="42">
        <v>76.4</v>
      </c>
      <c r="M14" s="42">
        <v>78.1</v>
      </c>
      <c r="N14" s="110">
        <f t="shared" si="4"/>
        <v>1.6999999999999886</v>
      </c>
      <c r="O14" s="88">
        <f t="shared" si="5"/>
        <v>3.0999999999999943</v>
      </c>
      <c r="P14" s="53">
        <v>2814</v>
      </c>
      <c r="Q14" s="11">
        <v>1185</v>
      </c>
      <c r="R14" s="12">
        <v>1331</v>
      </c>
      <c r="S14" s="112">
        <v>298</v>
      </c>
      <c r="T14" s="101">
        <f>6548/12*6</f>
        <v>3274</v>
      </c>
      <c r="U14" s="13">
        <f t="shared" si="6"/>
        <v>1482.5</v>
      </c>
      <c r="V14" s="15">
        <f>2687/12*6</f>
        <v>1343.5</v>
      </c>
      <c r="W14" s="46">
        <f>896/12*6</f>
        <v>448</v>
      </c>
      <c r="X14" s="17">
        <f>145/12*6</f>
        <v>72.5</v>
      </c>
      <c r="Y14" s="88"/>
      <c r="Z14" s="125">
        <v>2578</v>
      </c>
      <c r="AA14" s="13">
        <f t="shared" si="7"/>
        <v>1043</v>
      </c>
      <c r="AB14" s="13">
        <v>1342</v>
      </c>
      <c r="AC14" s="13">
        <v>193</v>
      </c>
      <c r="AD14" s="13">
        <v>27</v>
      </c>
      <c r="AE14" s="46"/>
      <c r="AF14" s="125">
        <f t="shared" si="8"/>
        <v>78.74160048869884</v>
      </c>
      <c r="AG14" s="125">
        <f t="shared" si="9"/>
        <v>70.35413153456999</v>
      </c>
      <c r="AH14" s="125">
        <f t="shared" si="10"/>
        <v>99.88835132117603</v>
      </c>
      <c r="AI14" s="125">
        <f t="shared" si="11"/>
        <v>43.080357142857146</v>
      </c>
      <c r="AJ14" s="125">
        <f t="shared" si="12"/>
        <v>37.24137931034483</v>
      </c>
      <c r="AK14" s="125"/>
      <c r="AL14" s="101">
        <f t="shared" si="13"/>
        <v>91.6133617626155</v>
      </c>
      <c r="AM14" s="101">
        <f t="shared" si="14"/>
        <v>88.01687763713079</v>
      </c>
      <c r="AN14" s="101">
        <f t="shared" si="15"/>
        <v>100.82644628099173</v>
      </c>
      <c r="AO14" s="101">
        <f t="shared" si="16"/>
        <v>64.76510067114094</v>
      </c>
      <c r="AP14" s="53">
        <v>226</v>
      </c>
      <c r="AQ14" s="23">
        <v>226</v>
      </c>
      <c r="AR14" s="23">
        <v>217</v>
      </c>
      <c r="AS14" s="23">
        <f t="shared" si="17"/>
        <v>96.01769911504425</v>
      </c>
      <c r="AT14" s="46">
        <f t="shared" si="18"/>
        <v>96.01769911504425</v>
      </c>
    </row>
    <row r="15" spans="1:46" ht="12.75">
      <c r="A15" s="198" t="s">
        <v>17</v>
      </c>
      <c r="B15" s="132">
        <v>23.2</v>
      </c>
      <c r="C15" s="150">
        <v>711</v>
      </c>
      <c r="D15" s="135">
        <v>701</v>
      </c>
      <c r="E15" s="151">
        <v>723</v>
      </c>
      <c r="F15" s="14">
        <f t="shared" si="0"/>
        <v>103.13837375178316</v>
      </c>
      <c r="G15" s="13">
        <f t="shared" si="1"/>
        <v>101.68776371308017</v>
      </c>
      <c r="H15" s="161">
        <v>10.6</v>
      </c>
      <c r="I15" s="16">
        <f t="shared" si="2"/>
        <v>10.541353383458647</v>
      </c>
      <c r="J15" s="42">
        <f t="shared" si="3"/>
        <v>10.524017467248909</v>
      </c>
      <c r="K15" s="15">
        <v>67</v>
      </c>
      <c r="L15" s="42">
        <v>66.5</v>
      </c>
      <c r="M15" s="42">
        <v>68.7</v>
      </c>
      <c r="N15" s="110">
        <f t="shared" si="4"/>
        <v>2.200000000000003</v>
      </c>
      <c r="O15" s="88">
        <f t="shared" si="5"/>
        <v>1.7000000000000028</v>
      </c>
      <c r="P15" s="53">
        <v>3080</v>
      </c>
      <c r="Q15" s="11">
        <v>1354</v>
      </c>
      <c r="R15" s="12">
        <v>1324</v>
      </c>
      <c r="S15" s="112">
        <v>402</v>
      </c>
      <c r="T15" s="101">
        <f>7523/12*6</f>
        <v>3761.5</v>
      </c>
      <c r="U15" s="13">
        <f t="shared" si="6"/>
        <v>1604</v>
      </c>
      <c r="V15" s="15">
        <f>3320/12*6</f>
        <v>1660</v>
      </c>
      <c r="W15" s="46">
        <f>995/12*6</f>
        <v>497.5</v>
      </c>
      <c r="X15" s="17">
        <f>28/12*6</f>
        <v>14</v>
      </c>
      <c r="Y15" s="88"/>
      <c r="Z15" s="125">
        <v>3250</v>
      </c>
      <c r="AA15" s="13">
        <f t="shared" si="7"/>
        <v>1392</v>
      </c>
      <c r="AB15" s="13">
        <v>1483</v>
      </c>
      <c r="AC15" s="13">
        <v>375</v>
      </c>
      <c r="AD15" s="13">
        <v>18</v>
      </c>
      <c r="AE15" s="46"/>
      <c r="AF15" s="125">
        <f t="shared" si="8"/>
        <v>86.40170144889007</v>
      </c>
      <c r="AG15" s="125">
        <f t="shared" si="9"/>
        <v>86.78304239401497</v>
      </c>
      <c r="AH15" s="125">
        <f t="shared" si="10"/>
        <v>89.33734939759036</v>
      </c>
      <c r="AI15" s="125">
        <f t="shared" si="11"/>
        <v>75.37688442211056</v>
      </c>
      <c r="AJ15" s="125">
        <f t="shared" si="12"/>
        <v>128.57142857142858</v>
      </c>
      <c r="AK15" s="125"/>
      <c r="AL15" s="101">
        <f t="shared" si="13"/>
        <v>105.51948051948052</v>
      </c>
      <c r="AM15" s="101">
        <f t="shared" si="14"/>
        <v>102.80649926144756</v>
      </c>
      <c r="AN15" s="101">
        <f t="shared" si="15"/>
        <v>112.00906344410878</v>
      </c>
      <c r="AO15" s="101">
        <f t="shared" si="16"/>
        <v>93.28358208955224</v>
      </c>
      <c r="AP15" s="53">
        <v>326</v>
      </c>
      <c r="AQ15" s="23">
        <v>326</v>
      </c>
      <c r="AR15" s="23">
        <v>352</v>
      </c>
      <c r="AS15" s="23">
        <f t="shared" si="17"/>
        <v>107.97546012269939</v>
      </c>
      <c r="AT15" s="46">
        <f t="shared" si="18"/>
        <v>107.97546012269939</v>
      </c>
    </row>
    <row r="16" spans="1:46" ht="12.75">
      <c r="A16" s="198" t="s">
        <v>18</v>
      </c>
      <c r="B16" s="132">
        <v>38.7</v>
      </c>
      <c r="C16" s="150">
        <v>753</v>
      </c>
      <c r="D16" s="135">
        <v>744</v>
      </c>
      <c r="E16" s="151">
        <v>777</v>
      </c>
      <c r="F16" s="14">
        <f t="shared" si="0"/>
        <v>104.43548387096774</v>
      </c>
      <c r="G16" s="13">
        <f t="shared" si="1"/>
        <v>103.18725099601593</v>
      </c>
      <c r="H16" s="161">
        <v>10.2</v>
      </c>
      <c r="I16" s="16">
        <f t="shared" si="2"/>
        <v>10.464135021097047</v>
      </c>
      <c r="J16" s="42">
        <f t="shared" si="3"/>
        <v>10.03875968992248</v>
      </c>
      <c r="K16" s="15">
        <v>74</v>
      </c>
      <c r="L16" s="42">
        <v>71.1</v>
      </c>
      <c r="M16" s="42">
        <v>77.4</v>
      </c>
      <c r="N16" s="110">
        <f t="shared" si="4"/>
        <v>6.300000000000011</v>
      </c>
      <c r="O16" s="88">
        <f t="shared" si="5"/>
        <v>3.4000000000000057</v>
      </c>
      <c r="P16" s="53">
        <v>3104</v>
      </c>
      <c r="Q16" s="11">
        <v>897</v>
      </c>
      <c r="R16" s="12">
        <v>1569</v>
      </c>
      <c r="S16" s="112">
        <v>638</v>
      </c>
      <c r="T16" s="101">
        <f>7580/12*6</f>
        <v>3790</v>
      </c>
      <c r="U16" s="13">
        <f t="shared" si="6"/>
        <v>1510</v>
      </c>
      <c r="V16" s="15">
        <f>3150/12*6</f>
        <v>1575</v>
      </c>
      <c r="W16" s="46">
        <f>1410/12*6</f>
        <v>705</v>
      </c>
      <c r="X16" s="17">
        <f>104/12*6</f>
        <v>52</v>
      </c>
      <c r="Y16" s="88"/>
      <c r="Z16" s="125">
        <v>3097</v>
      </c>
      <c r="AA16" s="13">
        <f t="shared" si="7"/>
        <v>997</v>
      </c>
      <c r="AB16" s="13">
        <v>1639</v>
      </c>
      <c r="AC16" s="13">
        <v>461</v>
      </c>
      <c r="AD16" s="13">
        <v>23</v>
      </c>
      <c r="AE16" s="46"/>
      <c r="AF16" s="125">
        <f t="shared" si="8"/>
        <v>81.71503957783641</v>
      </c>
      <c r="AG16" s="125">
        <f t="shared" si="9"/>
        <v>66.02649006622516</v>
      </c>
      <c r="AH16" s="125">
        <f t="shared" si="10"/>
        <v>104.06349206349206</v>
      </c>
      <c r="AI16" s="125">
        <f t="shared" si="11"/>
        <v>65.39007092198581</v>
      </c>
      <c r="AJ16" s="125">
        <f t="shared" si="12"/>
        <v>44.230769230769226</v>
      </c>
      <c r="AK16" s="125"/>
      <c r="AL16" s="101">
        <f t="shared" si="13"/>
        <v>99.77448453608247</v>
      </c>
      <c r="AM16" s="101">
        <f t="shared" si="14"/>
        <v>111.14827201783723</v>
      </c>
      <c r="AN16" s="101">
        <f t="shared" si="15"/>
        <v>104.46144040790313</v>
      </c>
      <c r="AO16" s="101">
        <f t="shared" si="16"/>
        <v>72.25705329153605</v>
      </c>
      <c r="AP16" s="53">
        <v>459</v>
      </c>
      <c r="AQ16" s="23">
        <v>400</v>
      </c>
      <c r="AR16" s="23">
        <v>466</v>
      </c>
      <c r="AS16" s="23">
        <f t="shared" si="17"/>
        <v>116.5</v>
      </c>
      <c r="AT16" s="46">
        <f t="shared" si="18"/>
        <v>101.52505446623094</v>
      </c>
    </row>
    <row r="17" spans="1:46" ht="12.75">
      <c r="A17" s="198" t="s">
        <v>19</v>
      </c>
      <c r="B17" s="132">
        <v>13.7</v>
      </c>
      <c r="C17" s="150">
        <v>692</v>
      </c>
      <c r="D17" s="13">
        <v>709</v>
      </c>
      <c r="E17" s="101">
        <v>723</v>
      </c>
      <c r="F17" s="14">
        <f t="shared" si="0"/>
        <v>101.97461212976022</v>
      </c>
      <c r="G17" s="13">
        <f t="shared" si="1"/>
        <v>104.47976878612717</v>
      </c>
      <c r="H17" s="161">
        <v>10</v>
      </c>
      <c r="I17" s="16">
        <f t="shared" si="2"/>
        <v>10.534918276374443</v>
      </c>
      <c r="J17" s="42">
        <f t="shared" si="3"/>
        <v>10.32857142857143</v>
      </c>
      <c r="K17" s="15">
        <v>69</v>
      </c>
      <c r="L17" s="42">
        <v>67.3</v>
      </c>
      <c r="M17" s="42">
        <v>70</v>
      </c>
      <c r="N17" s="110">
        <f t="shared" si="4"/>
        <v>2.700000000000003</v>
      </c>
      <c r="O17" s="88">
        <f t="shared" si="5"/>
        <v>1</v>
      </c>
      <c r="P17" s="53">
        <v>2906</v>
      </c>
      <c r="Q17" s="11">
        <v>1238</v>
      </c>
      <c r="R17" s="12">
        <v>1352</v>
      </c>
      <c r="S17" s="112">
        <v>316</v>
      </c>
      <c r="T17" s="101">
        <f>7457/12*6</f>
        <v>3728.5</v>
      </c>
      <c r="U17" s="13">
        <f t="shared" si="6"/>
        <v>1593</v>
      </c>
      <c r="V17" s="15">
        <f>2761/12*6</f>
        <v>1380.5</v>
      </c>
      <c r="W17" s="46">
        <f>1510/12*6</f>
        <v>755</v>
      </c>
      <c r="X17" s="17">
        <f>64/12*6</f>
        <v>32</v>
      </c>
      <c r="Y17" s="88"/>
      <c r="Z17" s="125">
        <v>2891</v>
      </c>
      <c r="AA17" s="13">
        <f t="shared" si="7"/>
        <v>1155</v>
      </c>
      <c r="AB17" s="13">
        <v>1498</v>
      </c>
      <c r="AC17" s="13">
        <v>238</v>
      </c>
      <c r="AD17" s="13">
        <v>0</v>
      </c>
      <c r="AE17" s="46"/>
      <c r="AF17" s="125">
        <f t="shared" si="8"/>
        <v>77.53788386750703</v>
      </c>
      <c r="AG17" s="125">
        <f t="shared" si="9"/>
        <v>72.50470809792844</v>
      </c>
      <c r="AH17" s="125">
        <f t="shared" si="10"/>
        <v>108.51140890981527</v>
      </c>
      <c r="AI17" s="125">
        <f t="shared" si="11"/>
        <v>31.523178807947023</v>
      </c>
      <c r="AJ17" s="125">
        <f t="shared" si="12"/>
        <v>0</v>
      </c>
      <c r="AK17" s="125"/>
      <c r="AL17" s="101">
        <f t="shared" si="13"/>
        <v>99.48382656572609</v>
      </c>
      <c r="AM17" s="101">
        <f t="shared" si="14"/>
        <v>93.29563812600969</v>
      </c>
      <c r="AN17" s="101">
        <f t="shared" si="15"/>
        <v>110.79881656804733</v>
      </c>
      <c r="AO17" s="101">
        <f t="shared" si="16"/>
        <v>75.31645569620254</v>
      </c>
      <c r="AP17" s="53">
        <v>451</v>
      </c>
      <c r="AQ17" s="23">
        <v>450</v>
      </c>
      <c r="AR17" s="23">
        <v>414</v>
      </c>
      <c r="AS17" s="23">
        <f t="shared" si="17"/>
        <v>92</v>
      </c>
      <c r="AT17" s="46">
        <f t="shared" si="18"/>
        <v>91.7960088691796</v>
      </c>
    </row>
    <row r="18" spans="1:46" ht="12.75">
      <c r="A18" s="198" t="s">
        <v>20</v>
      </c>
      <c r="B18" s="132">
        <v>40.3</v>
      </c>
      <c r="C18" s="150">
        <v>765</v>
      </c>
      <c r="D18" s="13">
        <v>778</v>
      </c>
      <c r="E18" s="101">
        <v>752</v>
      </c>
      <c r="F18" s="14">
        <f t="shared" si="0"/>
        <v>96.65809768637533</v>
      </c>
      <c r="G18" s="13">
        <f t="shared" si="1"/>
        <v>98.30065359477123</v>
      </c>
      <c r="H18" s="161">
        <v>10.3</v>
      </c>
      <c r="I18" s="16">
        <f t="shared" si="2"/>
        <v>10.345744680851064</v>
      </c>
      <c r="J18" s="42">
        <f t="shared" si="3"/>
        <v>10.358126721763087</v>
      </c>
      <c r="K18" s="15">
        <v>74</v>
      </c>
      <c r="L18" s="42">
        <v>75.2</v>
      </c>
      <c r="M18" s="42">
        <v>72.6</v>
      </c>
      <c r="N18" s="110">
        <f t="shared" si="4"/>
        <v>-2.6000000000000085</v>
      </c>
      <c r="O18" s="88">
        <f t="shared" si="5"/>
        <v>-1.4000000000000057</v>
      </c>
      <c r="P18" s="53">
        <v>3682</v>
      </c>
      <c r="Q18" s="11">
        <v>1452</v>
      </c>
      <c r="R18" s="12">
        <v>1709</v>
      </c>
      <c r="S18" s="112">
        <v>521</v>
      </c>
      <c r="T18" s="101">
        <f>7866/12*6</f>
        <v>3933</v>
      </c>
      <c r="U18" s="13">
        <f t="shared" si="6"/>
        <v>1641</v>
      </c>
      <c r="V18" s="15">
        <f>3455/12*6</f>
        <v>1727.5</v>
      </c>
      <c r="W18" s="46">
        <f>1129/12*6</f>
        <v>564.5</v>
      </c>
      <c r="X18" s="17">
        <f>40/12*6</f>
        <v>20</v>
      </c>
      <c r="Y18" s="88">
        <f>219/12*6</f>
        <v>109.5</v>
      </c>
      <c r="Z18" s="125">
        <v>3840</v>
      </c>
      <c r="AA18" s="13">
        <f t="shared" si="7"/>
        <v>1474</v>
      </c>
      <c r="AB18" s="13">
        <v>1755</v>
      </c>
      <c r="AC18" s="13">
        <v>611</v>
      </c>
      <c r="AD18" s="13">
        <v>1</v>
      </c>
      <c r="AE18" s="46">
        <v>24</v>
      </c>
      <c r="AF18" s="125">
        <f t="shared" si="8"/>
        <v>97.63539282990084</v>
      </c>
      <c r="AG18" s="125">
        <f t="shared" si="9"/>
        <v>89.82327848872639</v>
      </c>
      <c r="AH18" s="125">
        <f t="shared" si="10"/>
        <v>101.5918958031838</v>
      </c>
      <c r="AI18" s="125">
        <f t="shared" si="11"/>
        <v>108.23737821080601</v>
      </c>
      <c r="AJ18" s="125">
        <f t="shared" si="12"/>
        <v>5</v>
      </c>
      <c r="AK18" s="125">
        <f>AE18/Y18*100</f>
        <v>21.91780821917808</v>
      </c>
      <c r="AL18" s="101">
        <f t="shared" si="13"/>
        <v>104.29114611624118</v>
      </c>
      <c r="AM18" s="101">
        <f t="shared" si="14"/>
        <v>101.51515151515152</v>
      </c>
      <c r="AN18" s="101">
        <f t="shared" si="15"/>
        <v>102.69163253364542</v>
      </c>
      <c r="AO18" s="101">
        <f t="shared" si="16"/>
        <v>117.27447216890594</v>
      </c>
      <c r="AP18" s="53">
        <v>388</v>
      </c>
      <c r="AQ18" s="23">
        <v>387</v>
      </c>
      <c r="AR18" s="23">
        <v>390</v>
      </c>
      <c r="AS18" s="23">
        <f t="shared" si="17"/>
        <v>100.7751937984496</v>
      </c>
      <c r="AT18" s="46">
        <f t="shared" si="18"/>
        <v>100.51546391752578</v>
      </c>
    </row>
    <row r="19" spans="1:46" ht="12.75">
      <c r="A19" s="198" t="s">
        <v>21</v>
      </c>
      <c r="B19" s="132">
        <v>14.8</v>
      </c>
      <c r="C19" s="150">
        <v>719</v>
      </c>
      <c r="D19" s="13">
        <v>702</v>
      </c>
      <c r="E19" s="101">
        <v>694</v>
      </c>
      <c r="F19" s="14">
        <f t="shared" si="0"/>
        <v>98.86039886039886</v>
      </c>
      <c r="G19" s="13">
        <f t="shared" si="1"/>
        <v>96.52294853963839</v>
      </c>
      <c r="H19" s="161">
        <v>10.6</v>
      </c>
      <c r="I19" s="16">
        <f t="shared" si="2"/>
        <v>10.508982035928144</v>
      </c>
      <c r="J19" s="42">
        <f t="shared" si="3"/>
        <v>10.693374422187981</v>
      </c>
      <c r="K19" s="15">
        <v>68</v>
      </c>
      <c r="L19" s="42">
        <v>66.8</v>
      </c>
      <c r="M19" s="42">
        <v>64.9</v>
      </c>
      <c r="N19" s="110">
        <f t="shared" si="4"/>
        <v>-1.8999999999999915</v>
      </c>
      <c r="O19" s="88">
        <f t="shared" si="5"/>
        <v>-3.0999999999999943</v>
      </c>
      <c r="P19" s="53">
        <v>3212</v>
      </c>
      <c r="Q19" s="11">
        <v>1566</v>
      </c>
      <c r="R19" s="12">
        <v>1441</v>
      </c>
      <c r="S19" s="112">
        <v>205</v>
      </c>
      <c r="T19" s="101">
        <f>7706/12*6</f>
        <v>3853</v>
      </c>
      <c r="U19" s="13">
        <f t="shared" si="6"/>
        <v>1753.5</v>
      </c>
      <c r="V19" s="15">
        <f>3534/12*6</f>
        <v>1767</v>
      </c>
      <c r="W19" s="46">
        <f>665/12*6</f>
        <v>332.5</v>
      </c>
      <c r="X19" s="17">
        <f>61/12*6</f>
        <v>30.5</v>
      </c>
      <c r="Y19" s="88"/>
      <c r="Z19" s="125">
        <v>3427</v>
      </c>
      <c r="AA19" s="13">
        <f t="shared" si="7"/>
        <v>1461</v>
      </c>
      <c r="AB19" s="13">
        <v>1701</v>
      </c>
      <c r="AC19" s="13">
        <v>265</v>
      </c>
      <c r="AD19" s="13">
        <v>34</v>
      </c>
      <c r="AE19" s="46"/>
      <c r="AF19" s="125">
        <f t="shared" si="8"/>
        <v>88.9436802491565</v>
      </c>
      <c r="AG19" s="125">
        <f t="shared" si="9"/>
        <v>83.3190761334474</v>
      </c>
      <c r="AH19" s="125">
        <f t="shared" si="10"/>
        <v>96.26485568760611</v>
      </c>
      <c r="AI19" s="125">
        <f t="shared" si="11"/>
        <v>79.69924812030075</v>
      </c>
      <c r="AJ19" s="125">
        <f t="shared" si="12"/>
        <v>111.47540983606557</v>
      </c>
      <c r="AK19" s="125"/>
      <c r="AL19" s="101">
        <f t="shared" si="13"/>
        <v>106.69364881693649</v>
      </c>
      <c r="AM19" s="101">
        <f t="shared" si="14"/>
        <v>93.29501915708812</v>
      </c>
      <c r="AN19" s="101">
        <f t="shared" si="15"/>
        <v>118.04302567661347</v>
      </c>
      <c r="AO19" s="101">
        <f t="shared" si="16"/>
        <v>129.26829268292684</v>
      </c>
      <c r="AP19" s="53">
        <v>386</v>
      </c>
      <c r="AQ19" s="23">
        <v>409</v>
      </c>
      <c r="AR19" s="23">
        <v>399</v>
      </c>
      <c r="AS19" s="23">
        <f t="shared" si="17"/>
        <v>97.55501222493888</v>
      </c>
      <c r="AT19" s="46">
        <f t="shared" si="18"/>
        <v>103.36787564766838</v>
      </c>
    </row>
    <row r="20" spans="1:46" ht="12.75">
      <c r="A20" s="198" t="s">
        <v>22</v>
      </c>
      <c r="B20" s="132">
        <v>43.9</v>
      </c>
      <c r="C20" s="150">
        <v>754</v>
      </c>
      <c r="D20" s="13">
        <v>767</v>
      </c>
      <c r="E20" s="101">
        <v>745</v>
      </c>
      <c r="F20" s="14">
        <f t="shared" si="0"/>
        <v>97.13168187744459</v>
      </c>
      <c r="G20" s="13">
        <f t="shared" si="1"/>
        <v>98.80636604774536</v>
      </c>
      <c r="H20" s="161">
        <v>10.8</v>
      </c>
      <c r="I20" s="16">
        <f t="shared" si="2"/>
        <v>10.44959128065395</v>
      </c>
      <c r="J20" s="42">
        <f t="shared" si="3"/>
        <v>10.844250363901018</v>
      </c>
      <c r="K20" s="15">
        <v>70</v>
      </c>
      <c r="L20" s="42">
        <v>73.4</v>
      </c>
      <c r="M20" s="42">
        <v>68.7</v>
      </c>
      <c r="N20" s="110">
        <f t="shared" si="4"/>
        <v>-4.700000000000003</v>
      </c>
      <c r="O20" s="88">
        <f t="shared" si="5"/>
        <v>-1.2999999999999972</v>
      </c>
      <c r="P20" s="53">
        <v>3128</v>
      </c>
      <c r="Q20" s="11">
        <v>1226</v>
      </c>
      <c r="R20" s="12">
        <v>1525</v>
      </c>
      <c r="S20" s="112">
        <v>377</v>
      </c>
      <c r="T20" s="101">
        <f>8266/12*6</f>
        <v>4133</v>
      </c>
      <c r="U20" s="13">
        <f t="shared" si="6"/>
        <v>1636.5</v>
      </c>
      <c r="V20" s="15">
        <f>3660/12*6</f>
        <v>1830</v>
      </c>
      <c r="W20" s="46">
        <f>1333/12*6</f>
        <v>666.5</v>
      </c>
      <c r="X20" s="17">
        <f>80/12*6</f>
        <v>40</v>
      </c>
      <c r="Y20" s="88"/>
      <c r="Z20" s="125">
        <v>3194</v>
      </c>
      <c r="AA20" s="13">
        <f t="shared" si="7"/>
        <v>1151</v>
      </c>
      <c r="AB20" s="13">
        <v>1770</v>
      </c>
      <c r="AC20" s="13">
        <v>273</v>
      </c>
      <c r="AD20" s="13">
        <v>8.8</v>
      </c>
      <c r="AE20" s="46"/>
      <c r="AF20" s="125">
        <f t="shared" si="8"/>
        <v>77.28042584079361</v>
      </c>
      <c r="AG20" s="125">
        <f t="shared" si="9"/>
        <v>70.33302780323862</v>
      </c>
      <c r="AH20" s="125">
        <f t="shared" si="10"/>
        <v>96.72131147540983</v>
      </c>
      <c r="AI20" s="125">
        <f t="shared" si="11"/>
        <v>40.960240060015</v>
      </c>
      <c r="AJ20" s="125">
        <f t="shared" si="12"/>
        <v>22.000000000000004</v>
      </c>
      <c r="AK20" s="125"/>
      <c r="AL20" s="101">
        <f t="shared" si="13"/>
        <v>102.10997442455243</v>
      </c>
      <c r="AM20" s="101">
        <f t="shared" si="14"/>
        <v>93.88254486133768</v>
      </c>
      <c r="AN20" s="101">
        <f t="shared" si="15"/>
        <v>116.06557377049181</v>
      </c>
      <c r="AO20" s="101">
        <f t="shared" si="16"/>
        <v>72.41379310344827</v>
      </c>
      <c r="AP20" s="53">
        <v>391</v>
      </c>
      <c r="AQ20" s="23">
        <v>383</v>
      </c>
      <c r="AR20" s="23">
        <v>373</v>
      </c>
      <c r="AS20" s="23">
        <f t="shared" si="17"/>
        <v>97.38903394255874</v>
      </c>
      <c r="AT20" s="46">
        <f t="shared" si="18"/>
        <v>95.39641943734016</v>
      </c>
    </row>
    <row r="21" spans="1:46" ht="12.75">
      <c r="A21" s="198" t="s">
        <v>23</v>
      </c>
      <c r="B21" s="132">
        <v>28.5</v>
      </c>
      <c r="C21" s="150">
        <v>742</v>
      </c>
      <c r="D21" s="13">
        <v>774</v>
      </c>
      <c r="E21" s="101">
        <v>746</v>
      </c>
      <c r="F21" s="14">
        <f t="shared" si="0"/>
        <v>96.38242894056847</v>
      </c>
      <c r="G21" s="13">
        <f t="shared" si="1"/>
        <v>100.53908355795149</v>
      </c>
      <c r="H21" s="161">
        <v>10.2</v>
      </c>
      <c r="I21" s="16">
        <f t="shared" si="2"/>
        <v>10.720221606648199</v>
      </c>
      <c r="J21" s="42">
        <f t="shared" si="3"/>
        <v>10.163487738419617</v>
      </c>
      <c r="K21" s="15">
        <v>73</v>
      </c>
      <c r="L21" s="42">
        <v>72.2</v>
      </c>
      <c r="M21" s="42">
        <v>73.4</v>
      </c>
      <c r="N21" s="110">
        <f t="shared" si="4"/>
        <v>1.2000000000000028</v>
      </c>
      <c r="O21" s="88">
        <f t="shared" si="5"/>
        <v>0.4000000000000057</v>
      </c>
      <c r="P21" s="53">
        <v>2422</v>
      </c>
      <c r="Q21" s="11">
        <v>983</v>
      </c>
      <c r="R21" s="12">
        <v>1048</v>
      </c>
      <c r="S21" s="112">
        <v>391</v>
      </c>
      <c r="T21" s="101">
        <f>7685/12*6</f>
        <v>3842.5</v>
      </c>
      <c r="U21" s="13">
        <f t="shared" si="6"/>
        <v>1423.5</v>
      </c>
      <c r="V21" s="15">
        <f>3443/12*6</f>
        <v>1721.5</v>
      </c>
      <c r="W21" s="46">
        <f>1395/12*6</f>
        <v>697.5</v>
      </c>
      <c r="X21" s="17">
        <f>84/12*6</f>
        <v>42</v>
      </c>
      <c r="Y21" s="88"/>
      <c r="Z21" s="125">
        <v>2678</v>
      </c>
      <c r="AA21" s="13">
        <f t="shared" si="7"/>
        <v>1106</v>
      </c>
      <c r="AB21" s="13">
        <v>1230</v>
      </c>
      <c r="AC21" s="13">
        <v>342</v>
      </c>
      <c r="AD21" s="171">
        <v>1</v>
      </c>
      <c r="AE21" s="46"/>
      <c r="AF21" s="125">
        <f t="shared" si="8"/>
        <v>69.69420949902407</v>
      </c>
      <c r="AG21" s="125">
        <f t="shared" si="9"/>
        <v>77.69582016157358</v>
      </c>
      <c r="AH21" s="125">
        <f t="shared" si="10"/>
        <v>71.44931745570723</v>
      </c>
      <c r="AI21" s="125">
        <f t="shared" si="11"/>
        <v>49.03225806451613</v>
      </c>
      <c r="AJ21" s="125">
        <f t="shared" si="12"/>
        <v>2.380952380952381</v>
      </c>
      <c r="AK21" s="125"/>
      <c r="AL21" s="101">
        <f t="shared" si="13"/>
        <v>110.5697770437655</v>
      </c>
      <c r="AM21" s="101">
        <f t="shared" si="14"/>
        <v>112.51271617497456</v>
      </c>
      <c r="AN21" s="101">
        <f t="shared" si="15"/>
        <v>117.36641221374046</v>
      </c>
      <c r="AO21" s="101">
        <f t="shared" si="16"/>
        <v>87.46803069053708</v>
      </c>
      <c r="AP21" s="53">
        <v>384</v>
      </c>
      <c r="AQ21" s="23">
        <v>375</v>
      </c>
      <c r="AR21" s="23">
        <v>364</v>
      </c>
      <c r="AS21" s="23">
        <f t="shared" si="17"/>
        <v>97.06666666666666</v>
      </c>
      <c r="AT21" s="46">
        <f t="shared" si="18"/>
        <v>94.79166666666666</v>
      </c>
    </row>
    <row r="22" spans="1:46" ht="12.75">
      <c r="A22" s="198" t="s">
        <v>24</v>
      </c>
      <c r="B22" s="132">
        <v>34.3</v>
      </c>
      <c r="C22" s="150">
        <v>747</v>
      </c>
      <c r="D22" s="13">
        <v>718</v>
      </c>
      <c r="E22" s="101">
        <v>744</v>
      </c>
      <c r="F22" s="14">
        <f t="shared" si="0"/>
        <v>103.62116991643452</v>
      </c>
      <c r="G22" s="13">
        <f t="shared" si="1"/>
        <v>99.59839357429718</v>
      </c>
      <c r="H22" s="161">
        <v>10.5</v>
      </c>
      <c r="I22" s="16">
        <f t="shared" si="2"/>
        <v>10.558823529411764</v>
      </c>
      <c r="J22" s="42">
        <f t="shared" si="3"/>
        <v>10.34770514603616</v>
      </c>
      <c r="K22" s="15">
        <v>71</v>
      </c>
      <c r="L22" s="42">
        <v>68</v>
      </c>
      <c r="M22" s="42">
        <v>71.9</v>
      </c>
      <c r="N22" s="110">
        <f t="shared" si="4"/>
        <v>3.9000000000000057</v>
      </c>
      <c r="O22" s="88">
        <f t="shared" si="5"/>
        <v>0.9000000000000057</v>
      </c>
      <c r="P22" s="53">
        <v>3813</v>
      </c>
      <c r="Q22" s="11">
        <v>1311</v>
      </c>
      <c r="R22" s="12">
        <v>1976</v>
      </c>
      <c r="S22" s="112">
        <v>526</v>
      </c>
      <c r="T22" s="101">
        <f>7625/12*6</f>
        <v>3812.5</v>
      </c>
      <c r="U22" s="13">
        <f t="shared" si="6"/>
        <v>1561</v>
      </c>
      <c r="V22" s="15">
        <f>3496/12*6</f>
        <v>1748</v>
      </c>
      <c r="W22" s="46">
        <f>1007/12*6</f>
        <v>503.5</v>
      </c>
      <c r="X22" s="17">
        <f>56/12*6</f>
        <v>28</v>
      </c>
      <c r="Y22" s="88"/>
      <c r="Z22" s="125">
        <v>3182</v>
      </c>
      <c r="AA22" s="13">
        <f t="shared" si="7"/>
        <v>1057</v>
      </c>
      <c r="AB22" s="13">
        <v>1645</v>
      </c>
      <c r="AC22" s="13">
        <v>480</v>
      </c>
      <c r="AD22" s="13">
        <v>22</v>
      </c>
      <c r="AE22" s="46"/>
      <c r="AF22" s="125">
        <f t="shared" si="8"/>
        <v>83.46229508196721</v>
      </c>
      <c r="AG22" s="125">
        <f t="shared" si="9"/>
        <v>67.71300448430493</v>
      </c>
      <c r="AH22" s="125">
        <f t="shared" si="10"/>
        <v>94.10755148741418</v>
      </c>
      <c r="AI22" s="125">
        <f t="shared" si="11"/>
        <v>95.33267130089375</v>
      </c>
      <c r="AJ22" s="125">
        <f t="shared" si="12"/>
        <v>78.57142857142857</v>
      </c>
      <c r="AK22" s="125"/>
      <c r="AL22" s="101">
        <f t="shared" si="13"/>
        <v>83.45135064253869</v>
      </c>
      <c r="AM22" s="101">
        <f t="shared" si="14"/>
        <v>80.62547673531655</v>
      </c>
      <c r="AN22" s="101">
        <f t="shared" si="15"/>
        <v>83.24898785425101</v>
      </c>
      <c r="AO22" s="101">
        <f t="shared" si="16"/>
        <v>91.25475285171103</v>
      </c>
      <c r="AP22" s="53">
        <v>408</v>
      </c>
      <c r="AQ22" s="23">
        <v>406</v>
      </c>
      <c r="AR22" s="23">
        <v>402</v>
      </c>
      <c r="AS22" s="23">
        <f t="shared" si="17"/>
        <v>99.01477832512316</v>
      </c>
      <c r="AT22" s="46">
        <f t="shared" si="18"/>
        <v>98.52941176470588</v>
      </c>
    </row>
    <row r="23" spans="1:46" ht="12.75">
      <c r="A23" s="198" t="s">
        <v>25</v>
      </c>
      <c r="B23" s="132">
        <v>23.7</v>
      </c>
      <c r="C23" s="150">
        <v>835</v>
      </c>
      <c r="D23" s="13">
        <v>812</v>
      </c>
      <c r="E23" s="101">
        <v>830</v>
      </c>
      <c r="F23" s="14">
        <f t="shared" si="0"/>
        <v>102.21674876847291</v>
      </c>
      <c r="G23" s="13">
        <f t="shared" si="1"/>
        <v>99.40119760479041</v>
      </c>
      <c r="H23" s="161">
        <v>9.9</v>
      </c>
      <c r="I23" s="16">
        <f t="shared" si="2"/>
        <v>10.518134715025907</v>
      </c>
      <c r="J23" s="42">
        <f t="shared" si="3"/>
        <v>10.272277227722773</v>
      </c>
      <c r="K23" s="15">
        <v>84</v>
      </c>
      <c r="L23" s="42">
        <v>77.2</v>
      </c>
      <c r="M23" s="42">
        <v>80.8</v>
      </c>
      <c r="N23" s="110">
        <f t="shared" si="4"/>
        <v>3.5999999999999943</v>
      </c>
      <c r="O23" s="88">
        <f t="shared" si="5"/>
        <v>-3.200000000000003</v>
      </c>
      <c r="P23" s="53">
        <v>3308</v>
      </c>
      <c r="Q23" s="11">
        <v>1584</v>
      </c>
      <c r="R23" s="12">
        <v>1352</v>
      </c>
      <c r="S23" s="112">
        <v>372</v>
      </c>
      <c r="T23" s="101">
        <f>8090/12*6</f>
        <v>4045</v>
      </c>
      <c r="U23" s="13">
        <f t="shared" si="6"/>
        <v>1901</v>
      </c>
      <c r="V23" s="15">
        <f>3271/12*6</f>
        <v>1635.5</v>
      </c>
      <c r="W23" s="46">
        <f>1017/12*6</f>
        <v>508.5</v>
      </c>
      <c r="X23" s="17">
        <f>137/12*6</f>
        <v>68.5</v>
      </c>
      <c r="Y23" s="88"/>
      <c r="Z23" s="125">
        <v>3263</v>
      </c>
      <c r="AA23" s="13">
        <f t="shared" si="7"/>
        <v>1438</v>
      </c>
      <c r="AB23" s="13">
        <v>1549</v>
      </c>
      <c r="AC23" s="13">
        <v>276</v>
      </c>
      <c r="AD23" s="13">
        <v>37</v>
      </c>
      <c r="AE23" s="46"/>
      <c r="AF23" s="125">
        <f t="shared" si="8"/>
        <v>80.66749072929542</v>
      </c>
      <c r="AG23" s="125">
        <f t="shared" si="9"/>
        <v>75.64439768542871</v>
      </c>
      <c r="AH23" s="125">
        <f t="shared" si="10"/>
        <v>94.71109752369306</v>
      </c>
      <c r="AI23" s="125">
        <f t="shared" si="11"/>
        <v>54.27728613569322</v>
      </c>
      <c r="AJ23" s="125">
        <f t="shared" si="12"/>
        <v>54.01459854014598</v>
      </c>
      <c r="AK23" s="125"/>
      <c r="AL23" s="101">
        <f t="shared" si="13"/>
        <v>98.63966142684401</v>
      </c>
      <c r="AM23" s="101">
        <f t="shared" si="14"/>
        <v>90.78282828282829</v>
      </c>
      <c r="AN23" s="101">
        <f t="shared" si="15"/>
        <v>114.57100591715977</v>
      </c>
      <c r="AO23" s="101">
        <f t="shared" si="16"/>
        <v>74.19354838709677</v>
      </c>
      <c r="AP23" s="53">
        <v>491</v>
      </c>
      <c r="AQ23" s="23">
        <v>477</v>
      </c>
      <c r="AR23" s="23">
        <v>472</v>
      </c>
      <c r="AS23" s="23">
        <f t="shared" si="17"/>
        <v>98.9517819706499</v>
      </c>
      <c r="AT23" s="46">
        <f t="shared" si="18"/>
        <v>96.13034623217924</v>
      </c>
    </row>
    <row r="24" spans="1:46" ht="12.75">
      <c r="A24" s="198" t="s">
        <v>26</v>
      </c>
      <c r="B24" s="132">
        <v>32.6</v>
      </c>
      <c r="C24" s="150">
        <v>791</v>
      </c>
      <c r="D24" s="13">
        <v>796</v>
      </c>
      <c r="E24" s="101">
        <v>800</v>
      </c>
      <c r="F24" s="14">
        <f t="shared" si="0"/>
        <v>100.50251256281406</v>
      </c>
      <c r="G24" s="13">
        <f t="shared" si="1"/>
        <v>101.13780025284449</v>
      </c>
      <c r="H24" s="161">
        <v>10.3</v>
      </c>
      <c r="I24" s="16">
        <f t="shared" si="2"/>
        <v>10.473684210526315</v>
      </c>
      <c r="J24" s="42">
        <f t="shared" si="3"/>
        <v>10.54018445322793</v>
      </c>
      <c r="K24" s="15">
        <v>77</v>
      </c>
      <c r="L24" s="42">
        <v>76</v>
      </c>
      <c r="M24" s="42">
        <v>75.9</v>
      </c>
      <c r="N24" s="110">
        <f t="shared" si="4"/>
        <v>-0.09999999999999432</v>
      </c>
      <c r="O24" s="88">
        <f t="shared" si="5"/>
        <v>-1.0999999999999943</v>
      </c>
      <c r="P24" s="53">
        <v>3537</v>
      </c>
      <c r="Q24" s="11">
        <v>1432</v>
      </c>
      <c r="R24" s="12">
        <v>1660</v>
      </c>
      <c r="S24" s="112">
        <v>445</v>
      </c>
      <c r="T24" s="101">
        <f>7756/12*6</f>
        <v>3878</v>
      </c>
      <c r="U24" s="13">
        <f t="shared" si="6"/>
        <v>1684</v>
      </c>
      <c r="V24" s="15">
        <f>3270/12*6</f>
        <v>1635</v>
      </c>
      <c r="W24" s="46">
        <f>1118/12*6</f>
        <v>559</v>
      </c>
      <c r="X24" s="17">
        <f>67/12*6</f>
        <v>33.5</v>
      </c>
      <c r="Y24" s="88"/>
      <c r="Z24" s="125">
        <v>3625</v>
      </c>
      <c r="AA24" s="13">
        <f t="shared" si="7"/>
        <v>1477</v>
      </c>
      <c r="AB24" s="13">
        <v>1693</v>
      </c>
      <c r="AC24" s="13">
        <v>455</v>
      </c>
      <c r="AD24" s="13">
        <v>36</v>
      </c>
      <c r="AE24" s="46"/>
      <c r="AF24" s="125">
        <f t="shared" si="8"/>
        <v>93.47601856627126</v>
      </c>
      <c r="AG24" s="125">
        <f t="shared" si="9"/>
        <v>87.70783847980998</v>
      </c>
      <c r="AH24" s="125">
        <f t="shared" si="10"/>
        <v>103.5474006116208</v>
      </c>
      <c r="AI24" s="125">
        <f t="shared" si="11"/>
        <v>81.3953488372093</v>
      </c>
      <c r="AJ24" s="125">
        <f t="shared" si="12"/>
        <v>107.46268656716418</v>
      </c>
      <c r="AK24" s="125"/>
      <c r="AL24" s="101">
        <f t="shared" si="13"/>
        <v>102.48798416737348</v>
      </c>
      <c r="AM24" s="101">
        <f t="shared" si="14"/>
        <v>103.14245810055867</v>
      </c>
      <c r="AN24" s="101">
        <f t="shared" si="15"/>
        <v>101.98795180722891</v>
      </c>
      <c r="AO24" s="101">
        <f t="shared" si="16"/>
        <v>102.24719101123596</v>
      </c>
      <c r="AP24" s="53">
        <v>430</v>
      </c>
      <c r="AQ24" s="23">
        <v>430</v>
      </c>
      <c r="AR24" s="23">
        <v>434</v>
      </c>
      <c r="AS24" s="23">
        <f t="shared" si="17"/>
        <v>100.93023255813954</v>
      </c>
      <c r="AT24" s="46">
        <f t="shared" si="18"/>
        <v>100.93023255813954</v>
      </c>
    </row>
    <row r="25" spans="1:46" ht="12.75">
      <c r="A25" s="198" t="s">
        <v>27</v>
      </c>
      <c r="B25" s="16">
        <v>93</v>
      </c>
      <c r="C25" s="150">
        <v>657</v>
      </c>
      <c r="D25" s="13">
        <v>681</v>
      </c>
      <c r="E25" s="101">
        <v>669</v>
      </c>
      <c r="F25" s="14">
        <f t="shared" si="0"/>
        <v>98.23788546255507</v>
      </c>
      <c r="G25" s="13">
        <f t="shared" si="1"/>
        <v>101.82648401826484</v>
      </c>
      <c r="H25" s="161">
        <v>10.4</v>
      </c>
      <c r="I25" s="16">
        <f t="shared" si="2"/>
        <v>10.349544072948328</v>
      </c>
      <c r="J25" s="42">
        <f t="shared" si="3"/>
        <v>10.245022970903523</v>
      </c>
      <c r="K25" s="15">
        <v>63</v>
      </c>
      <c r="L25" s="42">
        <v>65.8</v>
      </c>
      <c r="M25" s="42">
        <v>65.3</v>
      </c>
      <c r="N25" s="110">
        <f t="shared" si="4"/>
        <v>-0.5</v>
      </c>
      <c r="O25" s="88">
        <f t="shared" si="5"/>
        <v>2.299999999999997</v>
      </c>
      <c r="P25" s="53">
        <v>2722</v>
      </c>
      <c r="Q25" s="11">
        <v>1092</v>
      </c>
      <c r="R25" s="12">
        <v>1324</v>
      </c>
      <c r="S25" s="112">
        <v>306</v>
      </c>
      <c r="T25" s="101">
        <f>6845/12*6</f>
        <v>3422.5</v>
      </c>
      <c r="U25" s="13">
        <f t="shared" si="6"/>
        <v>1380.5</v>
      </c>
      <c r="V25" s="15">
        <f>3172/12*6</f>
        <v>1586</v>
      </c>
      <c r="W25" s="46">
        <f>912/12*6</f>
        <v>456</v>
      </c>
      <c r="X25" s="17">
        <f>86/12*6</f>
        <v>43</v>
      </c>
      <c r="Y25" s="88"/>
      <c r="Z25" s="125">
        <v>2737</v>
      </c>
      <c r="AA25" s="13">
        <f t="shared" si="7"/>
        <v>1180</v>
      </c>
      <c r="AB25" s="13">
        <v>1295</v>
      </c>
      <c r="AC25" s="13">
        <v>262</v>
      </c>
      <c r="AD25" s="171">
        <v>0.26</v>
      </c>
      <c r="AE25" s="46"/>
      <c r="AF25" s="125">
        <f t="shared" si="8"/>
        <v>79.97078159240321</v>
      </c>
      <c r="AG25" s="125">
        <f t="shared" si="9"/>
        <v>85.47627671133647</v>
      </c>
      <c r="AH25" s="125">
        <f t="shared" si="10"/>
        <v>81.65195460277428</v>
      </c>
      <c r="AI25" s="125">
        <f t="shared" si="11"/>
        <v>57.45614035087719</v>
      </c>
      <c r="AJ25" s="125">
        <f t="shared" si="12"/>
        <v>0.6046511627906977</v>
      </c>
      <c r="AK25" s="125"/>
      <c r="AL25" s="101">
        <f t="shared" si="13"/>
        <v>100.55106539309331</v>
      </c>
      <c r="AM25" s="101">
        <f t="shared" si="14"/>
        <v>108.05860805860806</v>
      </c>
      <c r="AN25" s="101">
        <f t="shared" si="15"/>
        <v>97.80966767371602</v>
      </c>
      <c r="AO25" s="101">
        <f t="shared" si="16"/>
        <v>85.62091503267973</v>
      </c>
      <c r="AP25" s="53">
        <v>348</v>
      </c>
      <c r="AQ25" s="23">
        <v>312</v>
      </c>
      <c r="AR25" s="23">
        <v>281</v>
      </c>
      <c r="AS25" s="23">
        <f t="shared" si="17"/>
        <v>90.06410256410257</v>
      </c>
      <c r="AT25" s="46">
        <f t="shared" si="18"/>
        <v>80.74712643678161</v>
      </c>
    </row>
    <row r="26" spans="1:46" ht="12.75">
      <c r="A26" s="198" t="s">
        <v>28</v>
      </c>
      <c r="B26" s="132">
        <v>55.6</v>
      </c>
      <c r="C26" s="150">
        <v>791</v>
      </c>
      <c r="D26" s="13">
        <v>775</v>
      </c>
      <c r="E26" s="101">
        <v>773</v>
      </c>
      <c r="F26" s="14">
        <f t="shared" si="0"/>
        <v>99.74193548387098</v>
      </c>
      <c r="G26" s="13">
        <f t="shared" si="1"/>
        <v>97.724399494311</v>
      </c>
      <c r="H26" s="161">
        <v>10</v>
      </c>
      <c r="I26" s="16">
        <f t="shared" si="2"/>
        <v>10.36096256684492</v>
      </c>
      <c r="J26" s="42">
        <f t="shared" si="3"/>
        <v>10.065104166666668</v>
      </c>
      <c r="K26" s="15">
        <v>79</v>
      </c>
      <c r="L26" s="42">
        <v>74.8</v>
      </c>
      <c r="M26" s="42">
        <v>76.8</v>
      </c>
      <c r="N26" s="110">
        <f t="shared" si="4"/>
        <v>2</v>
      </c>
      <c r="O26" s="88">
        <f t="shared" si="5"/>
        <v>-2.200000000000003</v>
      </c>
      <c r="P26" s="53">
        <v>3342</v>
      </c>
      <c r="Q26" s="11">
        <v>1534</v>
      </c>
      <c r="R26" s="12">
        <v>1456</v>
      </c>
      <c r="S26" s="112">
        <v>352</v>
      </c>
      <c r="T26" s="101">
        <f>6960/12*6</f>
        <v>3480</v>
      </c>
      <c r="U26" s="13">
        <f t="shared" si="6"/>
        <v>1536</v>
      </c>
      <c r="V26" s="15">
        <f>2978/12*6</f>
        <v>1489</v>
      </c>
      <c r="W26" s="46">
        <f>910/12*6</f>
        <v>455</v>
      </c>
      <c r="X26" s="17">
        <f>96/12*6</f>
        <v>48</v>
      </c>
      <c r="Y26" s="88">
        <f>81/12*6</f>
        <v>40.5</v>
      </c>
      <c r="Z26" s="125">
        <v>3160</v>
      </c>
      <c r="AA26" s="13">
        <f t="shared" si="7"/>
        <v>1388</v>
      </c>
      <c r="AB26" s="13">
        <v>1451</v>
      </c>
      <c r="AC26" s="13">
        <v>321</v>
      </c>
      <c r="AD26" s="13">
        <v>20</v>
      </c>
      <c r="AE26" s="46">
        <v>13</v>
      </c>
      <c r="AF26" s="125">
        <f t="shared" si="8"/>
        <v>90.80459770114942</v>
      </c>
      <c r="AG26" s="125">
        <f t="shared" si="9"/>
        <v>90.36458333333334</v>
      </c>
      <c r="AH26" s="125">
        <f t="shared" si="10"/>
        <v>97.4479516453996</v>
      </c>
      <c r="AI26" s="125">
        <f t="shared" si="11"/>
        <v>70.54945054945055</v>
      </c>
      <c r="AJ26" s="125">
        <f t="shared" si="12"/>
        <v>41.66666666666667</v>
      </c>
      <c r="AK26" s="125">
        <f>AE26/Y26*100</f>
        <v>32.098765432098766</v>
      </c>
      <c r="AL26" s="101">
        <f t="shared" si="13"/>
        <v>94.5541591861161</v>
      </c>
      <c r="AM26" s="101">
        <f t="shared" si="14"/>
        <v>90.48239895697523</v>
      </c>
      <c r="AN26" s="101">
        <f t="shared" si="15"/>
        <v>99.6565934065934</v>
      </c>
      <c r="AO26" s="101">
        <f t="shared" si="16"/>
        <v>91.19318181818183</v>
      </c>
      <c r="AP26" s="53">
        <v>581</v>
      </c>
      <c r="AQ26" s="23">
        <v>572</v>
      </c>
      <c r="AR26" s="23">
        <v>549</v>
      </c>
      <c r="AS26" s="23">
        <f t="shared" si="17"/>
        <v>95.97902097902097</v>
      </c>
      <c r="AT26" s="46">
        <f t="shared" si="18"/>
        <v>94.49225473321859</v>
      </c>
    </row>
    <row r="27" spans="1:46" ht="12.75">
      <c r="A27" s="198" t="s">
        <v>29</v>
      </c>
      <c r="B27" s="132">
        <v>358.3</v>
      </c>
      <c r="C27" s="150">
        <v>793</v>
      </c>
      <c r="D27" s="11">
        <v>781</v>
      </c>
      <c r="E27" s="101">
        <v>768</v>
      </c>
      <c r="F27" s="14">
        <f t="shared" si="0"/>
        <v>98.33546734955185</v>
      </c>
      <c r="G27" s="13">
        <f t="shared" si="1"/>
        <v>96.84741488020177</v>
      </c>
      <c r="H27" s="161">
        <v>11.5</v>
      </c>
      <c r="I27" s="16">
        <f t="shared" si="2"/>
        <v>10.525606469002694</v>
      </c>
      <c r="J27" s="42">
        <f t="shared" si="3"/>
        <v>11.066282420749278</v>
      </c>
      <c r="K27" s="15">
        <v>69</v>
      </c>
      <c r="L27" s="42">
        <v>74.2</v>
      </c>
      <c r="M27" s="42">
        <v>69.4</v>
      </c>
      <c r="N27" s="110">
        <f t="shared" si="4"/>
        <v>-4.799999999999997</v>
      </c>
      <c r="O27" s="88">
        <f t="shared" si="5"/>
        <v>0.4000000000000057</v>
      </c>
      <c r="P27" s="53">
        <v>3713</v>
      </c>
      <c r="Q27" s="11">
        <v>1810</v>
      </c>
      <c r="R27" s="12">
        <v>1441</v>
      </c>
      <c r="S27" s="112">
        <v>462</v>
      </c>
      <c r="T27" s="101">
        <f>7477/12*6</f>
        <v>3738.5</v>
      </c>
      <c r="U27" s="13">
        <f t="shared" si="6"/>
        <v>1885</v>
      </c>
      <c r="V27" s="15">
        <f>2844/12*6</f>
        <v>1422</v>
      </c>
      <c r="W27" s="46">
        <f>863/12*6</f>
        <v>431.5</v>
      </c>
      <c r="X27" s="17">
        <f>37/12*6</f>
        <v>18.5</v>
      </c>
      <c r="Y27" s="88"/>
      <c r="Z27" s="125">
        <v>3745</v>
      </c>
      <c r="AA27" s="13">
        <f t="shared" si="7"/>
        <v>1787</v>
      </c>
      <c r="AB27" s="13">
        <v>1475</v>
      </c>
      <c r="AC27" s="13">
        <v>483</v>
      </c>
      <c r="AD27" s="13">
        <v>59</v>
      </c>
      <c r="AE27" s="46"/>
      <c r="AF27" s="125">
        <f t="shared" si="8"/>
        <v>100.17386652400695</v>
      </c>
      <c r="AG27" s="125">
        <f t="shared" si="9"/>
        <v>94.80106100795756</v>
      </c>
      <c r="AH27" s="125">
        <f t="shared" si="10"/>
        <v>103.72714486638537</v>
      </c>
      <c r="AI27" s="125">
        <f t="shared" si="11"/>
        <v>111.93511008111238</v>
      </c>
      <c r="AJ27" s="125">
        <f t="shared" si="12"/>
        <v>318.9189189189189</v>
      </c>
      <c r="AK27" s="125"/>
      <c r="AL27" s="101">
        <f t="shared" si="13"/>
        <v>100.86183678965797</v>
      </c>
      <c r="AM27" s="101">
        <f t="shared" si="14"/>
        <v>98.7292817679558</v>
      </c>
      <c r="AN27" s="101">
        <f t="shared" si="15"/>
        <v>102.35947258848022</v>
      </c>
      <c r="AO27" s="101">
        <f t="shared" si="16"/>
        <v>104.54545454545455</v>
      </c>
      <c r="AP27" s="53">
        <v>437</v>
      </c>
      <c r="AQ27" s="23">
        <v>399</v>
      </c>
      <c r="AR27" s="23">
        <v>343</v>
      </c>
      <c r="AS27" s="23">
        <f t="shared" si="17"/>
        <v>85.96491228070175</v>
      </c>
      <c r="AT27" s="46">
        <f t="shared" si="18"/>
        <v>78.48970251716247</v>
      </c>
    </row>
    <row r="28" spans="1:46" ht="12.75">
      <c r="A28" s="198" t="s">
        <v>30</v>
      </c>
      <c r="B28" s="132">
        <v>120.1</v>
      </c>
      <c r="C28" s="150">
        <v>929</v>
      </c>
      <c r="D28" s="13">
        <v>932</v>
      </c>
      <c r="E28" s="101">
        <v>917</v>
      </c>
      <c r="F28" s="14">
        <f t="shared" si="0"/>
        <v>98.39055793991416</v>
      </c>
      <c r="G28" s="13">
        <f t="shared" si="1"/>
        <v>98.70828848223897</v>
      </c>
      <c r="H28" s="161">
        <v>11.2</v>
      </c>
      <c r="I28" s="16">
        <f t="shared" si="2"/>
        <v>10.837209302325581</v>
      </c>
      <c r="J28" s="42">
        <f t="shared" si="3"/>
        <v>10.916666666666666</v>
      </c>
      <c r="K28" s="15">
        <v>83</v>
      </c>
      <c r="L28" s="42">
        <v>86</v>
      </c>
      <c r="M28" s="42">
        <v>84</v>
      </c>
      <c r="N28" s="110">
        <f t="shared" si="4"/>
        <v>-2</v>
      </c>
      <c r="O28" s="88">
        <f t="shared" si="5"/>
        <v>1</v>
      </c>
      <c r="P28" s="53">
        <v>3153</v>
      </c>
      <c r="Q28" s="11">
        <v>1481</v>
      </c>
      <c r="R28" s="12">
        <v>1563</v>
      </c>
      <c r="S28" s="112">
        <v>109</v>
      </c>
      <c r="T28" s="101">
        <f>7563/12*6</f>
        <v>3781.5</v>
      </c>
      <c r="U28" s="13">
        <f t="shared" si="6"/>
        <v>1809.5</v>
      </c>
      <c r="V28" s="15">
        <f>3063/12*6</f>
        <v>1531.5</v>
      </c>
      <c r="W28" s="46">
        <f>881/12*6</f>
        <v>440.5</v>
      </c>
      <c r="X28" s="17">
        <f>57/12*6</f>
        <v>28.5</v>
      </c>
      <c r="Y28" s="88">
        <f>45/12*6</f>
        <v>22.5</v>
      </c>
      <c r="Z28" s="125">
        <v>3266</v>
      </c>
      <c r="AA28" s="13">
        <f t="shared" si="7"/>
        <v>1465</v>
      </c>
      <c r="AB28" s="13">
        <v>1516</v>
      </c>
      <c r="AC28" s="13">
        <v>285</v>
      </c>
      <c r="AD28" s="13">
        <v>14</v>
      </c>
      <c r="AE28" s="46">
        <v>16</v>
      </c>
      <c r="AF28" s="125">
        <f t="shared" si="8"/>
        <v>86.36784344836705</v>
      </c>
      <c r="AG28" s="125">
        <f t="shared" si="9"/>
        <v>80.96159159988947</v>
      </c>
      <c r="AH28" s="125">
        <f t="shared" si="10"/>
        <v>98.9879203395364</v>
      </c>
      <c r="AI28" s="125">
        <f t="shared" si="11"/>
        <v>64.69920544835415</v>
      </c>
      <c r="AJ28" s="125">
        <f t="shared" si="12"/>
        <v>49.122807017543856</v>
      </c>
      <c r="AK28" s="125">
        <f>AE28/Y28*100</f>
        <v>71.11111111111111</v>
      </c>
      <c r="AL28" s="101">
        <f t="shared" si="13"/>
        <v>103.58388836029178</v>
      </c>
      <c r="AM28" s="101">
        <f t="shared" si="14"/>
        <v>98.91964888588791</v>
      </c>
      <c r="AN28" s="101">
        <f t="shared" si="15"/>
        <v>96.99296225207934</v>
      </c>
      <c r="AO28" s="101">
        <f t="shared" si="16"/>
        <v>261.4678899082569</v>
      </c>
      <c r="AP28" s="53">
        <v>310</v>
      </c>
      <c r="AQ28" s="23">
        <v>307</v>
      </c>
      <c r="AR28" s="23">
        <v>289</v>
      </c>
      <c r="AS28" s="23">
        <f t="shared" si="17"/>
        <v>94.13680781758957</v>
      </c>
      <c r="AT28" s="46">
        <f t="shared" si="18"/>
        <v>93.2258064516129</v>
      </c>
    </row>
    <row r="29" spans="1:61" s="27" customFormat="1" ht="13.5" thickBot="1">
      <c r="A29" s="199" t="s">
        <v>31</v>
      </c>
      <c r="B29" s="133">
        <v>256.3</v>
      </c>
      <c r="C29" s="153">
        <v>886</v>
      </c>
      <c r="D29" s="81">
        <v>904</v>
      </c>
      <c r="E29" s="102">
        <v>866</v>
      </c>
      <c r="F29" s="14">
        <f t="shared" si="0"/>
        <v>95.79646017699115</v>
      </c>
      <c r="G29" s="13">
        <f t="shared" si="1"/>
        <v>97.74266365688487</v>
      </c>
      <c r="H29" s="162">
        <v>9.8</v>
      </c>
      <c r="I29" s="16">
        <f t="shared" si="2"/>
        <v>10.426758938869666</v>
      </c>
      <c r="J29" s="42">
        <f t="shared" si="3"/>
        <v>9.863325740318906</v>
      </c>
      <c r="K29" s="82">
        <v>90</v>
      </c>
      <c r="L29" s="57">
        <v>86.7</v>
      </c>
      <c r="M29" s="57">
        <v>87.8</v>
      </c>
      <c r="N29" s="110">
        <f t="shared" si="4"/>
        <v>1.0999999999999943</v>
      </c>
      <c r="O29" s="88">
        <f t="shared" si="5"/>
        <v>-2.200000000000003</v>
      </c>
      <c r="P29" s="62">
        <v>4027</v>
      </c>
      <c r="Q29" s="81">
        <v>1801</v>
      </c>
      <c r="R29" s="71">
        <v>1839</v>
      </c>
      <c r="S29" s="113">
        <v>387</v>
      </c>
      <c r="T29" s="102">
        <f>8176/12*6</f>
        <v>4088</v>
      </c>
      <c r="U29" s="13">
        <f t="shared" si="6"/>
        <v>1838.5</v>
      </c>
      <c r="V29" s="82">
        <f>3550/12*6</f>
        <v>1775</v>
      </c>
      <c r="W29" s="84">
        <f>949/12*6</f>
        <v>474.5</v>
      </c>
      <c r="X29" s="83">
        <f>40/12*6</f>
        <v>20</v>
      </c>
      <c r="Y29" s="89"/>
      <c r="Z29" s="126">
        <v>3751</v>
      </c>
      <c r="AA29" s="58">
        <f t="shared" si="7"/>
        <v>1575</v>
      </c>
      <c r="AB29" s="58">
        <v>1821</v>
      </c>
      <c r="AC29" s="58">
        <v>355</v>
      </c>
      <c r="AD29" s="58">
        <v>11</v>
      </c>
      <c r="AE29" s="84"/>
      <c r="AF29" s="125">
        <f t="shared" si="8"/>
        <v>91.7563600782779</v>
      </c>
      <c r="AG29" s="125">
        <f t="shared" si="9"/>
        <v>85.66766385640467</v>
      </c>
      <c r="AH29" s="125">
        <f t="shared" si="10"/>
        <v>102.59154929577466</v>
      </c>
      <c r="AI29" s="125">
        <f t="shared" si="11"/>
        <v>74.81559536354057</v>
      </c>
      <c r="AJ29" s="125">
        <f t="shared" si="12"/>
        <v>55.00000000000001</v>
      </c>
      <c r="AK29" s="125"/>
      <c r="AL29" s="101">
        <f t="shared" si="13"/>
        <v>93.14626272659548</v>
      </c>
      <c r="AM29" s="101">
        <f t="shared" si="14"/>
        <v>87.45141588006663</v>
      </c>
      <c r="AN29" s="101">
        <f t="shared" si="15"/>
        <v>99.02120717781403</v>
      </c>
      <c r="AO29" s="101">
        <f t="shared" si="16"/>
        <v>91.7312661498708</v>
      </c>
      <c r="AP29" s="62">
        <v>416</v>
      </c>
      <c r="AQ29" s="80">
        <v>390</v>
      </c>
      <c r="AR29" s="80">
        <v>393</v>
      </c>
      <c r="AS29" s="23">
        <f t="shared" si="17"/>
        <v>100.76923076923077</v>
      </c>
      <c r="AT29" s="46">
        <f t="shared" si="18"/>
        <v>94.47115384615384</v>
      </c>
      <c r="AU29" s="1"/>
      <c r="AV29" s="1"/>
      <c r="AW29" s="1"/>
      <c r="AX29" s="1"/>
      <c r="AY29" s="5"/>
      <c r="AZ29" s="5"/>
      <c r="BA29" s="5"/>
      <c r="BB29" s="4"/>
      <c r="BC29" s="4"/>
      <c r="BD29" s="4"/>
      <c r="BE29" s="4"/>
      <c r="BF29" s="4"/>
      <c r="BG29" s="4"/>
      <c r="BH29" s="4"/>
      <c r="BI29" s="4"/>
    </row>
    <row r="30" spans="1:61" s="28" customFormat="1" ht="13.5" thickBot="1">
      <c r="A30" s="64" t="s">
        <v>32</v>
      </c>
      <c r="B30" s="134">
        <v>1525.1</v>
      </c>
      <c r="C30" s="155">
        <v>783</v>
      </c>
      <c r="D30" s="76">
        <v>784</v>
      </c>
      <c r="E30" s="79">
        <v>776</v>
      </c>
      <c r="F30" s="96">
        <f t="shared" si="0"/>
        <v>98.9795918367347</v>
      </c>
      <c r="G30" s="96">
        <f t="shared" si="1"/>
        <v>99.10600255427842</v>
      </c>
      <c r="H30" s="167">
        <v>10.6</v>
      </c>
      <c r="I30" s="103">
        <f t="shared" si="2"/>
        <v>10.754458161865568</v>
      </c>
      <c r="J30" s="47">
        <f t="shared" si="3"/>
        <v>10.45822102425876</v>
      </c>
      <c r="K30" s="39">
        <v>74</v>
      </c>
      <c r="L30" s="60">
        <v>72.9</v>
      </c>
      <c r="M30" s="60">
        <v>74.2</v>
      </c>
      <c r="N30" s="47">
        <f t="shared" si="4"/>
        <v>1.2999999999999972</v>
      </c>
      <c r="O30" s="98">
        <f t="shared" si="5"/>
        <v>0.20000000000000284</v>
      </c>
      <c r="P30" s="44">
        <v>3540</v>
      </c>
      <c r="Q30" s="18">
        <v>1608</v>
      </c>
      <c r="R30" s="21">
        <v>1558</v>
      </c>
      <c r="S30" s="114">
        <v>374</v>
      </c>
      <c r="T30" s="118">
        <f>7620/12*6</f>
        <v>3810</v>
      </c>
      <c r="U30" s="20">
        <f t="shared" si="6"/>
        <v>1724</v>
      </c>
      <c r="V30" s="39">
        <f>3192/12*6</f>
        <v>1596</v>
      </c>
      <c r="W30" s="45">
        <f>980/12*6</f>
        <v>490</v>
      </c>
      <c r="X30" s="37">
        <f>55/12*6</f>
        <v>27.5</v>
      </c>
      <c r="Y30" s="119">
        <f>12/12*6</f>
        <v>6</v>
      </c>
      <c r="Z30" s="127">
        <v>3433</v>
      </c>
      <c r="AA30" s="20">
        <f t="shared" si="7"/>
        <v>1475</v>
      </c>
      <c r="AB30" s="20">
        <v>1581</v>
      </c>
      <c r="AC30" s="20">
        <v>377</v>
      </c>
      <c r="AD30" s="20">
        <v>14</v>
      </c>
      <c r="AE30" s="45">
        <v>2</v>
      </c>
      <c r="AF30" s="109">
        <f t="shared" si="8"/>
        <v>90.10498687664042</v>
      </c>
      <c r="AG30" s="109">
        <f t="shared" si="9"/>
        <v>85.5568445475638</v>
      </c>
      <c r="AH30" s="109">
        <f t="shared" si="10"/>
        <v>99.06015037593986</v>
      </c>
      <c r="AI30" s="109">
        <f t="shared" si="11"/>
        <v>76.93877551020408</v>
      </c>
      <c r="AJ30" s="109">
        <f t="shared" si="12"/>
        <v>50.90909090909091</v>
      </c>
      <c r="AK30" s="96">
        <f>AE30/Y30*100</f>
        <v>33.33333333333333</v>
      </c>
      <c r="AL30" s="85">
        <f t="shared" si="13"/>
        <v>96.9774011299435</v>
      </c>
      <c r="AM30" s="85">
        <f t="shared" si="14"/>
        <v>91.72885572139303</v>
      </c>
      <c r="AN30" s="85">
        <f t="shared" si="15"/>
        <v>101.4762516046213</v>
      </c>
      <c r="AO30" s="96">
        <f t="shared" si="16"/>
        <v>100.80213903743316</v>
      </c>
      <c r="AP30" s="44">
        <v>391</v>
      </c>
      <c r="AQ30" s="77">
        <v>372</v>
      </c>
      <c r="AR30" s="121">
        <v>358</v>
      </c>
      <c r="AS30" s="169">
        <f t="shared" si="17"/>
        <v>96.23655913978494</v>
      </c>
      <c r="AT30" s="45">
        <f t="shared" si="18"/>
        <v>91.56010230179028</v>
      </c>
      <c r="AU30" s="24"/>
      <c r="AV30" s="24"/>
      <c r="AW30" s="24"/>
      <c r="AX30" s="24"/>
      <c r="AY30" s="24"/>
      <c r="AZ30" s="24"/>
      <c r="BA30" s="24"/>
      <c r="BB30" s="22"/>
      <c r="BC30" s="22"/>
      <c r="BD30" s="22"/>
      <c r="BE30" s="22"/>
      <c r="BF30" s="22"/>
      <c r="BG30" s="22"/>
      <c r="BH30" s="22"/>
      <c r="BI30" s="22"/>
    </row>
    <row r="31" spans="1:61" s="27" customFormat="1" ht="13.5" thickBot="1">
      <c r="A31" s="48" t="s">
        <v>45</v>
      </c>
      <c r="B31" s="95">
        <v>1525.1</v>
      </c>
      <c r="C31" s="157">
        <v>194</v>
      </c>
      <c r="D31" s="52">
        <v>241</v>
      </c>
      <c r="E31" s="103">
        <v>235.6</v>
      </c>
      <c r="F31" s="96">
        <f t="shared" si="0"/>
        <v>97.75933609958506</v>
      </c>
      <c r="G31" s="96">
        <f t="shared" si="1"/>
        <v>121.44329896907216</v>
      </c>
      <c r="H31" s="168">
        <v>11.4</v>
      </c>
      <c r="I31" s="103">
        <f t="shared" si="2"/>
        <v>12.552083333333334</v>
      </c>
      <c r="J31" s="47">
        <f t="shared" si="3"/>
        <v>11.219047619047618</v>
      </c>
      <c r="K31" s="97">
        <v>17</v>
      </c>
      <c r="L31" s="47">
        <v>19.2</v>
      </c>
      <c r="M31" s="47">
        <v>21</v>
      </c>
      <c r="N31" s="47">
        <f t="shared" si="4"/>
        <v>1.8000000000000007</v>
      </c>
      <c r="O31" s="98">
        <f t="shared" si="5"/>
        <v>4</v>
      </c>
      <c r="P31" s="48">
        <v>79</v>
      </c>
      <c r="Q31" s="52">
        <v>79</v>
      </c>
      <c r="R31" s="72">
        <v>0</v>
      </c>
      <c r="S31" s="115">
        <v>0</v>
      </c>
      <c r="T31" s="103">
        <f>T32+T33+T34+T35</f>
        <v>120.25</v>
      </c>
      <c r="U31" s="103">
        <v>120.3</v>
      </c>
      <c r="V31" s="103"/>
      <c r="W31" s="103"/>
      <c r="X31" s="103"/>
      <c r="Y31" s="103"/>
      <c r="Z31" s="103">
        <f>Z32+Z33+Z34+Z35</f>
        <v>115.9</v>
      </c>
      <c r="AA31" s="174">
        <v>115.9</v>
      </c>
      <c r="AB31" s="68"/>
      <c r="AC31" s="68"/>
      <c r="AD31" s="68"/>
      <c r="AE31" s="73"/>
      <c r="AF31" s="109">
        <f>Z31/T31*100</f>
        <v>96.38253638253639</v>
      </c>
      <c r="AG31" s="109">
        <f t="shared" si="9"/>
        <v>96.34247714048213</v>
      </c>
      <c r="AH31" s="109"/>
      <c r="AI31" s="109"/>
      <c r="AJ31" s="109"/>
      <c r="AK31" s="96"/>
      <c r="AL31" s="99"/>
      <c r="AM31" s="86">
        <f>AA31/Q31*100</f>
        <v>146.7088607594937</v>
      </c>
      <c r="AN31" s="68"/>
      <c r="AO31" s="73"/>
      <c r="AP31" s="44">
        <v>5</v>
      </c>
      <c r="AQ31" s="60">
        <v>3</v>
      </c>
      <c r="AR31" s="170">
        <v>3.3</v>
      </c>
      <c r="AS31" s="169">
        <f t="shared" si="17"/>
        <v>109.99999999999999</v>
      </c>
      <c r="AT31" s="45">
        <f t="shared" si="18"/>
        <v>65.99999999999999</v>
      </c>
      <c r="AU31" s="5"/>
      <c r="AV31" s="5"/>
      <c r="AW31" s="5"/>
      <c r="AX31" s="5"/>
      <c r="AY31" s="5"/>
      <c r="AZ31" s="5"/>
      <c r="BA31" s="5"/>
      <c r="BB31" s="4"/>
      <c r="BC31" s="4"/>
      <c r="BD31" s="4"/>
      <c r="BE31" s="4"/>
      <c r="BF31" s="4"/>
      <c r="BG31" s="4"/>
      <c r="BH31" s="4"/>
      <c r="BI31" s="4"/>
    </row>
    <row r="32" spans="1:61" s="27" customFormat="1" ht="12.75">
      <c r="A32" s="53" t="s">
        <v>39</v>
      </c>
      <c r="B32" s="132"/>
      <c r="C32" s="150"/>
      <c r="D32" s="152">
        <v>138.6</v>
      </c>
      <c r="E32" s="158">
        <v>135</v>
      </c>
      <c r="F32" s="14">
        <f t="shared" si="0"/>
        <v>97.40259740259741</v>
      </c>
      <c r="G32" s="13"/>
      <c r="H32" s="163"/>
      <c r="I32" s="16">
        <f t="shared" si="2"/>
        <v>11.948275862068966</v>
      </c>
      <c r="J32" s="42">
        <f t="shared" si="3"/>
        <v>10.62992125984252</v>
      </c>
      <c r="K32" s="15"/>
      <c r="L32" s="42">
        <v>11.6</v>
      </c>
      <c r="M32" s="42">
        <v>12.7</v>
      </c>
      <c r="N32" s="110">
        <f t="shared" si="4"/>
        <v>1.0999999999999996</v>
      </c>
      <c r="O32" s="46"/>
      <c r="P32" s="53"/>
      <c r="Q32" s="11"/>
      <c r="R32" s="12"/>
      <c r="S32" s="112"/>
      <c r="T32" s="104">
        <f>107.6/12*6</f>
        <v>53.8</v>
      </c>
      <c r="U32" s="13"/>
      <c r="V32" s="15"/>
      <c r="W32" s="46"/>
      <c r="X32" s="17"/>
      <c r="Y32" s="88"/>
      <c r="Z32" s="172">
        <v>53.5</v>
      </c>
      <c r="AA32" s="13"/>
      <c r="AB32" s="13"/>
      <c r="AC32" s="13"/>
      <c r="AD32" s="13"/>
      <c r="AE32" s="46"/>
      <c r="AF32" s="125">
        <f>Z32/T32*100</f>
        <v>99.44237918215613</v>
      </c>
      <c r="AG32" s="13"/>
      <c r="AH32" s="13"/>
      <c r="AI32" s="13"/>
      <c r="AJ32" s="13"/>
      <c r="AK32" s="46"/>
      <c r="AL32" s="17"/>
      <c r="AM32" s="14"/>
      <c r="AN32" s="13"/>
      <c r="AO32" s="46"/>
      <c r="AP32" s="53"/>
      <c r="AQ32" s="25"/>
      <c r="AR32" s="110"/>
      <c r="AS32" s="70"/>
      <c r="AT32" s="46"/>
      <c r="AU32" s="5"/>
      <c r="AV32" s="5"/>
      <c r="AW32" s="5"/>
      <c r="AX32" s="5"/>
      <c r="AY32" s="5"/>
      <c r="AZ32" s="5"/>
      <c r="BA32" s="5"/>
      <c r="BB32" s="4"/>
      <c r="BC32" s="4"/>
      <c r="BD32" s="4"/>
      <c r="BE32" s="4"/>
      <c r="BF32" s="4"/>
      <c r="BG32" s="4"/>
      <c r="BH32" s="4"/>
      <c r="BI32" s="4"/>
    </row>
    <row r="33" spans="1:61" s="27" customFormat="1" ht="12.75">
      <c r="A33" s="53" t="s">
        <v>40</v>
      </c>
      <c r="B33" s="132"/>
      <c r="C33" s="150"/>
      <c r="D33" s="152">
        <v>40</v>
      </c>
      <c r="E33" s="158">
        <v>39</v>
      </c>
      <c r="F33" s="14">
        <f t="shared" si="0"/>
        <v>97.5</v>
      </c>
      <c r="G33" s="13"/>
      <c r="H33" s="163"/>
      <c r="I33" s="16">
        <f t="shared" si="2"/>
        <v>11.764705882352942</v>
      </c>
      <c r="J33" s="42">
        <f t="shared" si="3"/>
        <v>11.142857142857142</v>
      </c>
      <c r="K33" s="15"/>
      <c r="L33" s="42">
        <v>3.4</v>
      </c>
      <c r="M33" s="42">
        <v>3.5</v>
      </c>
      <c r="N33" s="110">
        <f t="shared" si="4"/>
        <v>0.10000000000000009</v>
      </c>
      <c r="O33" s="46"/>
      <c r="P33" s="53"/>
      <c r="Q33" s="11"/>
      <c r="R33" s="12"/>
      <c r="S33" s="112"/>
      <c r="T33" s="104">
        <f>47.5/12*6</f>
        <v>23.75</v>
      </c>
      <c r="U33" s="13"/>
      <c r="V33" s="15"/>
      <c r="W33" s="46"/>
      <c r="X33" s="17"/>
      <c r="Y33" s="88"/>
      <c r="Z33" s="172">
        <v>27.3</v>
      </c>
      <c r="AA33" s="13"/>
      <c r="AB33" s="13"/>
      <c r="AC33" s="13"/>
      <c r="AD33" s="13"/>
      <c r="AE33" s="46"/>
      <c r="AF33" s="125">
        <f>Z33/T33*100</f>
        <v>114.94736842105264</v>
      </c>
      <c r="AG33" s="13"/>
      <c r="AH33" s="13"/>
      <c r="AI33" s="13"/>
      <c r="AJ33" s="13"/>
      <c r="AK33" s="46"/>
      <c r="AL33" s="17"/>
      <c r="AM33" s="14"/>
      <c r="AN33" s="13"/>
      <c r="AO33" s="46"/>
      <c r="AP33" s="53"/>
      <c r="AQ33" s="42">
        <v>3</v>
      </c>
      <c r="AR33" s="110">
        <v>3.3</v>
      </c>
      <c r="AS33" s="70"/>
      <c r="AT33" s="46"/>
      <c r="AU33" s="5"/>
      <c r="AV33" s="5"/>
      <c r="AW33" s="5"/>
      <c r="AX33" s="5"/>
      <c r="AY33" s="5"/>
      <c r="AZ33" s="5"/>
      <c r="BA33" s="5"/>
      <c r="BB33" s="4"/>
      <c r="BC33" s="4"/>
      <c r="BD33" s="4"/>
      <c r="BE33" s="4"/>
      <c r="BF33" s="4"/>
      <c r="BG33" s="4"/>
      <c r="BH33" s="4"/>
      <c r="BI33" s="4"/>
    </row>
    <row r="34" spans="1:61" s="27" customFormat="1" ht="12.75">
      <c r="A34" s="53" t="s">
        <v>41</v>
      </c>
      <c r="B34" s="132"/>
      <c r="C34" s="150"/>
      <c r="D34" s="152">
        <v>21.4</v>
      </c>
      <c r="E34" s="158">
        <v>21.2</v>
      </c>
      <c r="F34" s="14">
        <f t="shared" si="0"/>
        <v>99.06542056074767</v>
      </c>
      <c r="G34" s="13"/>
      <c r="H34" s="163"/>
      <c r="I34" s="16">
        <f t="shared" si="2"/>
        <v>21.4</v>
      </c>
      <c r="J34" s="42">
        <f t="shared" si="3"/>
        <v>21.2</v>
      </c>
      <c r="K34" s="15"/>
      <c r="L34" s="42">
        <v>1</v>
      </c>
      <c r="M34" s="42">
        <v>1</v>
      </c>
      <c r="N34" s="110">
        <f t="shared" si="4"/>
        <v>0</v>
      </c>
      <c r="O34" s="46"/>
      <c r="P34" s="53"/>
      <c r="Q34" s="11"/>
      <c r="R34" s="12"/>
      <c r="S34" s="112"/>
      <c r="T34" s="101"/>
      <c r="U34" s="13"/>
      <c r="V34" s="15"/>
      <c r="W34" s="46"/>
      <c r="X34" s="17"/>
      <c r="Y34" s="88"/>
      <c r="Z34" s="125"/>
      <c r="AA34" s="13"/>
      <c r="AB34" s="13"/>
      <c r="AC34" s="13"/>
      <c r="AD34" s="13"/>
      <c r="AE34" s="46"/>
      <c r="AF34" s="125"/>
      <c r="AG34" s="13"/>
      <c r="AH34" s="13"/>
      <c r="AI34" s="13"/>
      <c r="AJ34" s="13"/>
      <c r="AK34" s="46"/>
      <c r="AL34" s="17"/>
      <c r="AM34" s="14"/>
      <c r="AN34" s="13"/>
      <c r="AO34" s="46"/>
      <c r="AP34" s="53"/>
      <c r="AQ34" s="25"/>
      <c r="AR34" s="70"/>
      <c r="AS34" s="70"/>
      <c r="AT34" s="46"/>
      <c r="AU34" s="5"/>
      <c r="AV34" s="5"/>
      <c r="AW34" s="5"/>
      <c r="AX34" s="5"/>
      <c r="AY34" s="5"/>
      <c r="AZ34" s="5"/>
      <c r="BA34" s="5"/>
      <c r="BB34" s="4"/>
      <c r="BC34" s="4"/>
      <c r="BD34" s="4"/>
      <c r="BE34" s="4"/>
      <c r="BF34" s="4"/>
      <c r="BG34" s="4"/>
      <c r="BH34" s="4"/>
      <c r="BI34" s="4"/>
    </row>
    <row r="35" spans="1:61" s="27" customFormat="1" ht="13.5" thickBot="1">
      <c r="A35" s="62" t="s">
        <v>42</v>
      </c>
      <c r="B35" s="133"/>
      <c r="C35" s="153"/>
      <c r="D35" s="154">
        <v>39.6</v>
      </c>
      <c r="E35" s="159">
        <v>39.1</v>
      </c>
      <c r="F35" s="14">
        <f t="shared" si="0"/>
        <v>98.73737373737373</v>
      </c>
      <c r="G35" s="58"/>
      <c r="H35" s="164"/>
      <c r="I35" s="16">
        <f t="shared" si="2"/>
        <v>12.774193548387096</v>
      </c>
      <c r="J35" s="42">
        <f t="shared" si="3"/>
        <v>10.567567567567567</v>
      </c>
      <c r="K35" s="82"/>
      <c r="L35" s="57">
        <v>3.1</v>
      </c>
      <c r="M35" s="57">
        <v>3.7</v>
      </c>
      <c r="N35" s="110">
        <f t="shared" si="4"/>
        <v>0.6000000000000001</v>
      </c>
      <c r="O35" s="46"/>
      <c r="P35" s="62"/>
      <c r="Q35" s="81"/>
      <c r="R35" s="71"/>
      <c r="S35" s="113"/>
      <c r="T35" s="105">
        <f>85.4/12*6</f>
        <v>42.7</v>
      </c>
      <c r="U35" s="58"/>
      <c r="V35" s="82"/>
      <c r="W35" s="84"/>
      <c r="X35" s="83"/>
      <c r="Y35" s="89"/>
      <c r="Z35" s="173">
        <v>35.1</v>
      </c>
      <c r="AA35" s="58"/>
      <c r="AB35" s="58"/>
      <c r="AC35" s="58"/>
      <c r="AD35" s="58"/>
      <c r="AE35" s="84"/>
      <c r="AF35" s="125">
        <f>Z35/T35*100</f>
        <v>82.20140515222482</v>
      </c>
      <c r="AG35" s="58"/>
      <c r="AH35" s="58"/>
      <c r="AI35" s="58"/>
      <c r="AJ35" s="58"/>
      <c r="AK35" s="84"/>
      <c r="AL35" s="83"/>
      <c r="AM35" s="43"/>
      <c r="AN35" s="58"/>
      <c r="AO35" s="84"/>
      <c r="AP35" s="62"/>
      <c r="AQ35" s="56"/>
      <c r="AR35" s="56"/>
      <c r="AS35" s="56"/>
      <c r="AT35" s="80"/>
      <c r="AU35" s="5"/>
      <c r="AV35" s="5"/>
      <c r="AW35" s="5"/>
      <c r="AX35" s="5"/>
      <c r="AY35" s="5"/>
      <c r="AZ35" s="5"/>
      <c r="BA35" s="5"/>
      <c r="BB35" s="4"/>
      <c r="BC35" s="4"/>
      <c r="BD35" s="4"/>
      <c r="BE35" s="4"/>
      <c r="BF35" s="4"/>
      <c r="BG35" s="4"/>
      <c r="BH35" s="4"/>
      <c r="BI35" s="4"/>
    </row>
    <row r="36" spans="1:61" s="27" customFormat="1" ht="13.5" thickBot="1">
      <c r="A36" s="62" t="s">
        <v>67</v>
      </c>
      <c r="B36" s="133"/>
      <c r="C36" s="153"/>
      <c r="D36" s="154">
        <v>1.35</v>
      </c>
      <c r="E36" s="190">
        <v>1.34</v>
      </c>
      <c r="F36" s="96">
        <f t="shared" si="0"/>
        <v>99.25925925925925</v>
      </c>
      <c r="G36" s="83"/>
      <c r="H36" s="162"/>
      <c r="I36" s="47">
        <f t="shared" si="2"/>
        <v>13.5</v>
      </c>
      <c r="J36" s="47">
        <f t="shared" si="3"/>
        <v>13.4</v>
      </c>
      <c r="K36" s="82"/>
      <c r="L36" s="57">
        <v>0.1</v>
      </c>
      <c r="M36" s="57">
        <v>0.1</v>
      </c>
      <c r="N36" s="47">
        <f t="shared" si="4"/>
        <v>0</v>
      </c>
      <c r="O36" s="73"/>
      <c r="P36" s="62"/>
      <c r="Q36" s="81"/>
      <c r="R36" s="71"/>
      <c r="S36" s="113"/>
      <c r="T36" s="105"/>
      <c r="U36" s="83"/>
      <c r="V36" s="83"/>
      <c r="W36" s="83"/>
      <c r="X36" s="83"/>
      <c r="Y36" s="83"/>
      <c r="Z36" s="105"/>
      <c r="AA36" s="83"/>
      <c r="AB36" s="83"/>
      <c r="AC36" s="83"/>
      <c r="AD36" s="83"/>
      <c r="AE36" s="83"/>
      <c r="AF36" s="96"/>
      <c r="AG36" s="82"/>
      <c r="AH36" s="82"/>
      <c r="AI36" s="82"/>
      <c r="AJ36" s="82"/>
      <c r="AK36" s="84"/>
      <c r="AL36" s="83"/>
      <c r="AM36" s="83"/>
      <c r="AN36" s="83"/>
      <c r="AO36" s="84"/>
      <c r="AP36" s="62"/>
      <c r="AQ36" s="62"/>
      <c r="AR36" s="62"/>
      <c r="AS36" s="56"/>
      <c r="AT36" s="84"/>
      <c r="AU36" s="5"/>
      <c r="AV36" s="5"/>
      <c r="AW36" s="5"/>
      <c r="AX36" s="5"/>
      <c r="AY36" s="5"/>
      <c r="AZ36" s="5"/>
      <c r="BA36" s="5"/>
      <c r="BB36" s="4"/>
      <c r="BC36" s="4"/>
      <c r="BD36" s="4"/>
      <c r="BE36" s="4"/>
      <c r="BF36" s="4"/>
      <c r="BG36" s="4"/>
      <c r="BH36" s="4"/>
      <c r="BI36" s="4"/>
    </row>
    <row r="37" spans="1:61" s="28" customFormat="1" ht="13.5" thickBot="1">
      <c r="A37" s="91" t="s">
        <v>33</v>
      </c>
      <c r="B37" s="134">
        <v>1525.1</v>
      </c>
      <c r="C37" s="155">
        <v>977</v>
      </c>
      <c r="D37" s="156">
        <f>D30+D31</f>
        <v>1025</v>
      </c>
      <c r="E37" s="156">
        <f>E30+E31</f>
        <v>1011.6</v>
      </c>
      <c r="F37" s="96">
        <f t="shared" si="0"/>
        <v>98.69268292682926</v>
      </c>
      <c r="G37" s="96">
        <f>E37/C37*100</f>
        <v>103.54145342886387</v>
      </c>
      <c r="H37" s="166">
        <v>10.7</v>
      </c>
      <c r="I37" s="103">
        <f t="shared" si="2"/>
        <v>11.129207383279043</v>
      </c>
      <c r="J37" s="47">
        <f t="shared" si="3"/>
        <v>10.626050420168067</v>
      </c>
      <c r="K37" s="165">
        <f>K30+K31</f>
        <v>91</v>
      </c>
      <c r="L37" s="78">
        <f>L30+L31</f>
        <v>92.10000000000001</v>
      </c>
      <c r="M37" s="78">
        <f>M30+M31</f>
        <v>95.2</v>
      </c>
      <c r="N37" s="47">
        <f t="shared" si="4"/>
        <v>3.0999999999999943</v>
      </c>
      <c r="O37" s="98">
        <f>M37-K37</f>
        <v>4.200000000000003</v>
      </c>
      <c r="P37" s="91">
        <f>P30+P31</f>
        <v>3619</v>
      </c>
      <c r="Q37" s="75">
        <v>1687</v>
      </c>
      <c r="R37" s="59">
        <v>1558</v>
      </c>
      <c r="S37" s="116">
        <v>374</v>
      </c>
      <c r="T37" s="118">
        <f aca="true" t="shared" si="19" ref="T37:AE37">T30+T31</f>
        <v>3930.25</v>
      </c>
      <c r="U37" s="118">
        <f t="shared" si="19"/>
        <v>1844.3</v>
      </c>
      <c r="V37" s="118">
        <f t="shared" si="19"/>
        <v>1596</v>
      </c>
      <c r="W37" s="118">
        <f t="shared" si="19"/>
        <v>490</v>
      </c>
      <c r="X37" s="118">
        <f t="shared" si="19"/>
        <v>27.5</v>
      </c>
      <c r="Y37" s="118">
        <f t="shared" si="19"/>
        <v>6</v>
      </c>
      <c r="Z37" s="118">
        <f t="shared" si="19"/>
        <v>3548.9</v>
      </c>
      <c r="AA37" s="118">
        <f t="shared" si="19"/>
        <v>1590.9</v>
      </c>
      <c r="AB37" s="118">
        <f t="shared" si="19"/>
        <v>1581</v>
      </c>
      <c r="AC37" s="118">
        <f t="shared" si="19"/>
        <v>377</v>
      </c>
      <c r="AD37" s="118">
        <f t="shared" si="19"/>
        <v>14</v>
      </c>
      <c r="AE37" s="118">
        <f t="shared" si="19"/>
        <v>2</v>
      </c>
      <c r="AF37" s="109">
        <f aca="true" t="shared" si="20" ref="AF37:AK37">Z37/T37*100</f>
        <v>90.2970548947268</v>
      </c>
      <c r="AG37" s="109">
        <f t="shared" si="20"/>
        <v>86.26036978799544</v>
      </c>
      <c r="AH37" s="109">
        <f t="shared" si="20"/>
        <v>99.06015037593986</v>
      </c>
      <c r="AI37" s="109">
        <f t="shared" si="20"/>
        <v>76.93877551020408</v>
      </c>
      <c r="AJ37" s="109">
        <f t="shared" si="20"/>
        <v>50.90909090909091</v>
      </c>
      <c r="AK37" s="96">
        <f t="shared" si="20"/>
        <v>33.33333333333333</v>
      </c>
      <c r="AL37" s="85">
        <f>Z37/P37*100</f>
        <v>98.06300082895828</v>
      </c>
      <c r="AM37" s="85">
        <f>AA37/Q37*100</f>
        <v>94.30349733254299</v>
      </c>
      <c r="AN37" s="85">
        <f>AB37/R37*100</f>
        <v>101.4762516046213</v>
      </c>
      <c r="AO37" s="96">
        <f>AC37/S37*100</f>
        <v>100.80213903743316</v>
      </c>
      <c r="AP37" s="91">
        <f>AP30+AP31</f>
        <v>396</v>
      </c>
      <c r="AQ37" s="79">
        <v>375</v>
      </c>
      <c r="AR37" s="79">
        <v>361</v>
      </c>
      <c r="AS37" s="169">
        <f>AR37/AQ37*100</f>
        <v>96.26666666666667</v>
      </c>
      <c r="AT37" s="45">
        <f>AR37/AP37*100</f>
        <v>91.16161616161617</v>
      </c>
      <c r="AU37" s="24"/>
      <c r="AV37" s="24"/>
      <c r="AW37" s="24"/>
      <c r="AX37" s="24"/>
      <c r="AY37" s="24"/>
      <c r="AZ37" s="24"/>
      <c r="BA37" s="24"/>
      <c r="BB37" s="22"/>
      <c r="BC37" s="22"/>
      <c r="BD37" s="22"/>
      <c r="BE37" s="22"/>
      <c r="BF37" s="22"/>
      <c r="BG37" s="22"/>
      <c r="BH37" s="22"/>
      <c r="BI37" s="22"/>
    </row>
    <row r="38" spans="1:61" s="27" customFormat="1" ht="13.5" thickBot="1">
      <c r="A38" s="192" t="s">
        <v>54</v>
      </c>
      <c r="B38" s="49"/>
      <c r="C38" s="139"/>
      <c r="D38" s="140">
        <v>1894</v>
      </c>
      <c r="E38" s="193"/>
      <c r="F38" s="19"/>
      <c r="G38" s="49"/>
      <c r="H38" s="49"/>
      <c r="I38" s="49"/>
      <c r="J38" s="49"/>
      <c r="K38" s="49"/>
      <c r="L38" s="49"/>
      <c r="M38" s="168"/>
      <c r="N38" s="168"/>
      <c r="O38" s="49"/>
      <c r="P38" s="49"/>
      <c r="Q38" s="49"/>
      <c r="R38" s="49"/>
      <c r="S38" s="49"/>
      <c r="T38" s="19">
        <v>8762</v>
      </c>
      <c r="U38" s="18">
        <v>3744</v>
      </c>
      <c r="V38" s="19">
        <v>3142</v>
      </c>
      <c r="W38" s="167">
        <v>1572.1</v>
      </c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49"/>
      <c r="AM38" s="49"/>
      <c r="AN38" s="49"/>
      <c r="AO38" s="49"/>
      <c r="AP38" s="49"/>
      <c r="AQ38" s="21">
        <v>490</v>
      </c>
      <c r="AR38" s="19"/>
      <c r="AS38" s="19"/>
      <c r="AT38" s="51"/>
      <c r="AU38" s="5"/>
      <c r="AV38" s="5"/>
      <c r="AW38" s="5"/>
      <c r="AX38" s="5"/>
      <c r="AY38" s="5"/>
      <c r="AZ38" s="5"/>
      <c r="BA38" s="5"/>
      <c r="BB38" s="4"/>
      <c r="BC38" s="4"/>
      <c r="BD38" s="4"/>
      <c r="BE38" s="4"/>
      <c r="BF38" s="4"/>
      <c r="BG38" s="4"/>
      <c r="BH38" s="4"/>
      <c r="BI38" s="4"/>
    </row>
    <row r="39" spans="2:6" ht="12.75">
      <c r="B39" s="5"/>
      <c r="C39" s="191"/>
      <c r="D39" s="191"/>
      <c r="E39" s="191"/>
      <c r="F39" s="5"/>
    </row>
    <row r="40" spans="2:6" ht="12.75">
      <c r="B40" s="5"/>
      <c r="C40" s="191"/>
      <c r="D40" s="191"/>
      <c r="E40" s="191"/>
      <c r="F40" s="5"/>
    </row>
    <row r="41" spans="2:6" ht="12.75">
      <c r="B41" s="5"/>
      <c r="C41" s="191"/>
      <c r="D41" s="191"/>
      <c r="E41" s="191"/>
      <c r="F41" s="5"/>
    </row>
    <row r="42" spans="2:6" ht="12.75">
      <c r="B42" s="5"/>
      <c r="C42" s="191"/>
      <c r="D42" s="191"/>
      <c r="E42" s="191"/>
      <c r="F42" s="5"/>
    </row>
    <row r="43" spans="2:6" ht="12.75">
      <c r="B43" s="5"/>
      <c r="C43" s="191"/>
      <c r="D43" s="191"/>
      <c r="E43" s="191"/>
      <c r="F43" s="5"/>
    </row>
    <row r="44" spans="2:6" ht="12.75">
      <c r="B44" s="5"/>
      <c r="C44" s="191"/>
      <c r="D44" s="191"/>
      <c r="E44" s="191"/>
      <c r="F44" s="5"/>
    </row>
    <row r="45" spans="2:6" ht="12.75">
      <c r="B45" s="5"/>
      <c r="C45" s="191"/>
      <c r="D45" s="191"/>
      <c r="E45" s="191"/>
      <c r="F45" s="5"/>
    </row>
    <row r="46" spans="2:6" ht="12.75">
      <c r="B46" s="5"/>
      <c r="C46" s="191"/>
      <c r="D46" s="191"/>
      <c r="E46" s="191"/>
      <c r="F46" s="5"/>
    </row>
    <row r="47" spans="2:6" ht="12.75">
      <c r="B47" s="5"/>
      <c r="C47" s="191"/>
      <c r="D47" s="191"/>
      <c r="E47" s="191"/>
      <c r="F47" s="5"/>
    </row>
    <row r="48" spans="2:6" ht="12.75">
      <c r="B48" s="5"/>
      <c r="C48" s="191"/>
      <c r="D48" s="191"/>
      <c r="E48" s="191"/>
      <c r="F48" s="5"/>
    </row>
    <row r="49" spans="2:6" ht="12.75">
      <c r="B49" s="5"/>
      <c r="C49" s="191"/>
      <c r="D49" s="191"/>
      <c r="E49" s="191"/>
      <c r="F49" s="5"/>
    </row>
    <row r="50" spans="2:6" ht="12.75">
      <c r="B50" s="5"/>
      <c r="C50" s="191"/>
      <c r="D50" s="191"/>
      <c r="E50" s="191"/>
      <c r="F50" s="5"/>
    </row>
    <row r="51" spans="2:6" ht="12.75">
      <c r="B51" s="5"/>
      <c r="C51" s="191"/>
      <c r="D51" s="191"/>
      <c r="E51" s="191"/>
      <c r="F51" s="5"/>
    </row>
    <row r="52" spans="2:6" ht="12.75">
      <c r="B52" s="5"/>
      <c r="C52" s="191"/>
      <c r="D52" s="191"/>
      <c r="E52" s="191"/>
      <c r="F52" s="5"/>
    </row>
    <row r="53" spans="2:6" ht="12.75">
      <c r="B53" s="5"/>
      <c r="C53" s="191"/>
      <c r="D53" s="191"/>
      <c r="E53" s="191"/>
      <c r="F53" s="5"/>
    </row>
    <row r="54" spans="2:6" ht="12.75">
      <c r="B54" s="5"/>
      <c r="C54" s="191"/>
      <c r="D54" s="191"/>
      <c r="E54" s="191"/>
      <c r="F54" s="5"/>
    </row>
    <row r="55" spans="2:6" ht="12.75">
      <c r="B55" s="5"/>
      <c r="C55" s="191"/>
      <c r="D55" s="191"/>
      <c r="E55" s="191"/>
      <c r="F55" s="5"/>
    </row>
    <row r="56" spans="2:6" ht="12.75">
      <c r="B56" s="5"/>
      <c r="C56" s="191"/>
      <c r="D56" s="191"/>
      <c r="E56" s="191"/>
      <c r="F56" s="5"/>
    </row>
    <row r="57" spans="2:6" ht="12.75">
      <c r="B57" s="5"/>
      <c r="C57" s="191"/>
      <c r="D57" s="191"/>
      <c r="E57" s="191"/>
      <c r="F57" s="5"/>
    </row>
  </sheetData>
  <mergeCells count="4">
    <mergeCell ref="D4:E4"/>
    <mergeCell ref="I4:J4"/>
    <mergeCell ref="L4:M4"/>
    <mergeCell ref="AQ4:AR4"/>
  </mergeCells>
  <printOptions/>
  <pageMargins left="0.19" right="0.16" top="0.32" bottom="1" header="0.22" footer="0.5"/>
  <pageSetup fitToWidth="2" fitToHeight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экономического анализа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Дмитриенко</dc:creator>
  <cp:keywords/>
  <dc:description/>
  <cp:lastModifiedBy>BAG</cp:lastModifiedBy>
  <cp:lastPrinted>2010-08-03T11:37:21Z</cp:lastPrinted>
  <dcterms:created xsi:type="dcterms:W3CDTF">2008-01-05T07:51:45Z</dcterms:created>
  <dcterms:modified xsi:type="dcterms:W3CDTF">2010-08-04T10:50:19Z</dcterms:modified>
  <cp:category/>
  <cp:version/>
  <cp:contentType/>
  <cp:contentStatus/>
</cp:coreProperties>
</file>